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05" yWindow="-105" windowWidth="19425" windowHeight="10425" activeTab="2"/>
  </bookViews>
  <sheets>
    <sheet name="Actual FC &amp; PGCIL &amp; TM Cost" sheetId="3" r:id="rId1"/>
    <sheet name="Abstract Avail&amp;Strand" sheetId="5" r:id="rId2"/>
    <sheet name="Addnl Surcharge 24-25_H1" sheetId="1" r:id="rId3"/>
    <sheet name="OA Sales Trend" sheetId="6" state="hidden" r:id="rId4"/>
    <sheet name="Sheet1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'Actual FC &amp; PGCIL &amp; TM Cost'!$E$3:$I$57</definedName>
    <definedName name="_xlnm.Print_Area" localSheetId="2">'Addnl Surcharge 24-25_H1'!$A$1:$E$19</definedName>
  </definedNames>
  <calcPr calcId="124519" iterate="1"/>
</workbook>
</file>

<file path=xl/calcChain.xml><?xml version="1.0" encoding="utf-8"?>
<calcChain xmlns="http://schemas.openxmlformats.org/spreadsheetml/2006/main">
  <c r="G21" i="3"/>
  <c r="G22"/>
  <c r="I23" s="1"/>
  <c r="F15" i="1" s="1"/>
  <c r="F16" s="1"/>
  <c r="F17" s="1"/>
  <c r="F19" s="1"/>
  <c r="F21" i="3"/>
  <c r="G19" i="1"/>
  <c r="G17"/>
  <c r="G16"/>
  <c r="G14"/>
  <c r="G12"/>
  <c r="I22" i="3"/>
  <c r="I21"/>
  <c r="H21"/>
  <c r="I6" i="1"/>
  <c r="I5"/>
  <c r="G20" i="3"/>
  <c r="E13" i="1" l="1"/>
  <c r="E10" i="5" l="1"/>
  <c r="E9"/>
  <c r="D10" l="1"/>
  <c r="D9"/>
  <c r="H10" l="1"/>
  <c r="H9"/>
  <c r="H8"/>
  <c r="H7"/>
  <c r="H6"/>
  <c r="H5"/>
  <c r="H4"/>
  <c r="G10"/>
  <c r="G9"/>
  <c r="G8"/>
  <c r="G7"/>
  <c r="G6"/>
  <c r="G5"/>
  <c r="G4"/>
  <c r="F10"/>
  <c r="F9"/>
  <c r="F8"/>
  <c r="F7"/>
  <c r="F6"/>
  <c r="F5"/>
  <c r="F4"/>
  <c r="E8"/>
  <c r="E7"/>
  <c r="E6"/>
  <c r="E5"/>
  <c r="E4"/>
  <c r="D8"/>
  <c r="D7"/>
  <c r="D6"/>
  <c r="D5"/>
  <c r="D4"/>
  <c r="C10"/>
  <c r="C9"/>
  <c r="C8"/>
  <c r="C7"/>
  <c r="C6"/>
  <c r="C5"/>
  <c r="C4"/>
  <c r="E18" i="1" l="1"/>
  <c r="C48" i="3" l="1"/>
  <c r="C43" l="1"/>
  <c r="I6" i="7"/>
  <c r="I7"/>
  <c r="I8"/>
  <c r="I9"/>
  <c r="I10"/>
  <c r="I11"/>
  <c r="I12"/>
  <c r="I13"/>
  <c r="I14"/>
  <c r="I15"/>
  <c r="I16"/>
  <c r="I17"/>
  <c r="I5"/>
  <c r="H21" i="5" l="1"/>
  <c r="H22"/>
  <c r="H23"/>
  <c r="H17"/>
  <c r="H20"/>
  <c r="H19"/>
  <c r="H18"/>
  <c r="G19" l="1"/>
  <c r="G20"/>
  <c r="G21"/>
  <c r="G22"/>
  <c r="G23"/>
  <c r="G18"/>
  <c r="G17"/>
  <c r="F19" l="1"/>
  <c r="F20"/>
  <c r="F21"/>
  <c r="F22"/>
  <c r="F23"/>
  <c r="F18"/>
  <c r="F17"/>
  <c r="E19" l="1"/>
  <c r="E20"/>
  <c r="E21"/>
  <c r="E22"/>
  <c r="E23"/>
  <c r="E18"/>
  <c r="E17"/>
  <c r="D19" l="1"/>
  <c r="D20"/>
  <c r="D21"/>
  <c r="D22"/>
  <c r="D23"/>
  <c r="D18"/>
  <c r="D17"/>
  <c r="C19" l="1"/>
  <c r="I19" s="1"/>
  <c r="C20"/>
  <c r="I20" s="1"/>
  <c r="C21"/>
  <c r="I21" s="1"/>
  <c r="I10"/>
  <c r="I9"/>
  <c r="K9" s="1"/>
  <c r="I8"/>
  <c r="I7"/>
  <c r="I6"/>
  <c r="I5"/>
  <c r="I4"/>
  <c r="C22" l="1"/>
  <c r="I22" s="1"/>
  <c r="C23"/>
  <c r="I23" s="1"/>
  <c r="C18"/>
  <c r="I18" s="1"/>
  <c r="C17"/>
  <c r="I17" s="1"/>
  <c r="G12" i="3"/>
  <c r="E9" i="1" s="1"/>
  <c r="G16" i="3" l="1"/>
  <c r="E11" i="1" s="1"/>
  <c r="G11" i="3"/>
  <c r="G13" s="1"/>
  <c r="C55"/>
  <c r="C52"/>
  <c r="C58"/>
  <c r="C46"/>
  <c r="E5" i="1" s="1"/>
  <c r="E8" l="1"/>
  <c r="C60" i="3"/>
  <c r="G23"/>
  <c r="E15" i="1" s="1"/>
  <c r="E4" l="1"/>
  <c r="E3"/>
  <c r="G13" i="6" l="1"/>
  <c r="F13"/>
  <c r="F6"/>
  <c r="F5"/>
  <c r="D13"/>
  <c r="F8"/>
  <c r="F9"/>
  <c r="F10"/>
  <c r="F11"/>
  <c r="F12"/>
  <c r="F7"/>
  <c r="E10" i="1" l="1"/>
  <c r="E12" s="1"/>
  <c r="E14" s="1"/>
  <c r="E16" s="1"/>
  <c r="E6"/>
  <c r="E7" s="1"/>
  <c r="E17" l="1"/>
  <c r="E19" l="1"/>
</calcChain>
</file>

<file path=xl/sharedStrings.xml><?xml version="1.0" encoding="utf-8"?>
<sst xmlns="http://schemas.openxmlformats.org/spreadsheetml/2006/main" count="208" uniqueCount="185">
  <si>
    <t xml:space="preserve">Additional Surcharge </t>
  </si>
  <si>
    <t>Unit</t>
  </si>
  <si>
    <t>{A}</t>
  </si>
  <si>
    <t>Long term available capacity</t>
  </si>
  <si>
    <t>MW</t>
  </si>
  <si>
    <t>{B}</t>
  </si>
  <si>
    <t>Capacity stranded due to open access</t>
  </si>
  <si>
    <t>Capacity stranded due to open access incl Captive</t>
  </si>
  <si>
    <t>{C}</t>
  </si>
  <si>
    <t>Fixed Charges paid</t>
  </si>
  <si>
    <t>Rs. crore</t>
  </si>
  <si>
    <t>Actual FC excl NCEs</t>
  </si>
  <si>
    <t>{D}={C}÷{A}</t>
  </si>
  <si>
    <t>Fixed Charges per MW</t>
  </si>
  <si>
    <t>Rs. crore/MW</t>
  </si>
  <si>
    <t>{E}={D}x{B}</t>
  </si>
  <si>
    <t>Fixed Charges for stranded capacity</t>
  </si>
  <si>
    <t>{F}</t>
  </si>
  <si>
    <t>Transmission charges paid</t>
  </si>
  <si>
    <t>{G}</t>
  </si>
  <si>
    <t>Actual Energy scheduled</t>
  </si>
  <si>
    <t>MU</t>
  </si>
  <si>
    <t>{H}={F}÷{G}</t>
  </si>
  <si>
    <t>Transmission charges per unit</t>
  </si>
  <si>
    <t>Rs./kWh</t>
  </si>
  <si>
    <t>I</t>
  </si>
  <si>
    <t>Distribution charges as per Tariff Order</t>
  </si>
  <si>
    <t>{J}={H}+{I}</t>
  </si>
  <si>
    <t>Total transmission and distribution charges per unit</t>
  </si>
  <si>
    <t>{K}</t>
  </si>
  <si>
    <t>{L}={K}x{J}</t>
  </si>
  <si>
    <t>{M}</t>
  </si>
  <si>
    <t>Demand charges recovered by the DISCOM from open access consumers</t>
  </si>
  <si>
    <t>Demand Charges Excl GPCIL &amp; TP</t>
  </si>
  <si>
    <t>{N}={M}-{L}</t>
  </si>
  <si>
    <t>Demand charges to be adjusted</t>
  </si>
  <si>
    <t>{O}={E}-{N}</t>
  </si>
  <si>
    <t>Net stranded charges recoverable</t>
  </si>
  <si>
    <t>{P}</t>
  </si>
  <si>
    <t>Open access sales</t>
  </si>
  <si>
    <t>Total Intra State + Total  OA</t>
  </si>
  <si>
    <t>{Q}={O}÷{P}</t>
  </si>
  <si>
    <t>Additional Surcharge computed</t>
  </si>
  <si>
    <t>Actual FC incl NCEs</t>
  </si>
  <si>
    <t>Intra State(Excl Captive) + OA (Excl Captive)</t>
  </si>
  <si>
    <t>consider captive in OA MW</t>
  </si>
  <si>
    <t>Total Intra State + Total  OA + APGPCL</t>
  </si>
  <si>
    <t>Consider captive in OA Sales</t>
  </si>
  <si>
    <t>Only Third Party OA MU</t>
  </si>
  <si>
    <t>Energy Excl GPCIL</t>
  </si>
  <si>
    <t>Energy incl GPCIL</t>
  </si>
  <si>
    <t>Energy Excl GPCIL &amp; TP</t>
  </si>
  <si>
    <t>Demand Charges Excl GPCIL</t>
  </si>
  <si>
    <t>Demand Charges incl GPCIL</t>
  </si>
  <si>
    <t>Capacity stranded due to open access w/o Captive</t>
  </si>
  <si>
    <t>RTS-B</t>
  </si>
  <si>
    <t>CGS Total</t>
  </si>
  <si>
    <t>CGS</t>
  </si>
  <si>
    <t>NPC  Kaiga - I&amp; II</t>
  </si>
  <si>
    <t>NPC-MAPS</t>
  </si>
  <si>
    <t>NPC-Kudankulam</t>
  </si>
  <si>
    <t>NLC ST-I</t>
  </si>
  <si>
    <t>NLC ST-II</t>
  </si>
  <si>
    <t>NTPC(SR) I &amp; II</t>
  </si>
  <si>
    <t>NTPC(SR) ST III</t>
  </si>
  <si>
    <t>NTPC-Simhadri -I</t>
  </si>
  <si>
    <t>NTPC-Simhadri -II</t>
  </si>
  <si>
    <t>NTPC-Talcher-ST II</t>
  </si>
  <si>
    <t>NTPC KUDIGI I</t>
  </si>
  <si>
    <t>NTECL - VALLURU</t>
  </si>
  <si>
    <t>NLC Tamilnadu Power Ltd</t>
  </si>
  <si>
    <t>IPPs</t>
  </si>
  <si>
    <t>TOTAL IPPs/MPPs</t>
  </si>
  <si>
    <t>KTPS V (D)</t>
  </si>
  <si>
    <t>KTPS VI</t>
  </si>
  <si>
    <t>Kakatiya Stage-I</t>
  </si>
  <si>
    <t>Kakatiya Stage-II</t>
  </si>
  <si>
    <t>KTPS Stage VII</t>
  </si>
  <si>
    <t>Interest on Pension bonds</t>
  </si>
  <si>
    <t>TSGENCO-Hydel</t>
  </si>
  <si>
    <t>TSGENCO-TOTAL</t>
  </si>
  <si>
    <t>SINGARENI CCL U1&amp;U2</t>
  </si>
  <si>
    <t>Chatthisgargh SPDCL</t>
  </si>
  <si>
    <t>PGCIL Non POC</t>
  </si>
  <si>
    <t>POSOCO (SRLDC Fees &amp; Charges)</t>
  </si>
  <si>
    <t>TSTRANSCO-TR TSNPDCL</t>
  </si>
  <si>
    <t>TSTRANSCO-TR TSSPDCL</t>
  </si>
  <si>
    <t>TSTRANSCO-SLDC TSNPDCL</t>
  </si>
  <si>
    <t>TSTRANSCO-SLDC TSSPDCL</t>
  </si>
  <si>
    <t>Name of the Generating Station</t>
  </si>
  <si>
    <t>Total Fixed Cost Excl NCEs</t>
  </si>
  <si>
    <t>PGCIL</t>
  </si>
  <si>
    <t>Transco</t>
  </si>
  <si>
    <t>SLDC</t>
  </si>
  <si>
    <t>PGCIL &amp; T/m Cost</t>
  </si>
  <si>
    <t>Total</t>
  </si>
  <si>
    <t>NNTPS</t>
  </si>
  <si>
    <t>Particular (in MW)</t>
  </si>
  <si>
    <t>Average</t>
  </si>
  <si>
    <t>Availibile capacity</t>
  </si>
  <si>
    <t>Scheduled Capacity</t>
  </si>
  <si>
    <t>OA Scheduled Capacity</t>
  </si>
  <si>
    <t>Stranded Capacity</t>
  </si>
  <si>
    <t>Stranded Capacity arrived by considering minimum of backing down i.e., deficit and OA scheduled capacity for each 15-min block</t>
  </si>
  <si>
    <t>FY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</si>
  <si>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</si>
  <si>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</si>
  <si>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</si>
  <si>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</si>
  <si>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</si>
  <si>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</si>
  <si>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</si>
  <si>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</si>
  <si>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H1</t>
  </si>
  <si>
    <t>H2</t>
  </si>
  <si>
    <t>OA Sales excluding captive (MU)</t>
  </si>
  <si>
    <t>Expn I</t>
  </si>
  <si>
    <t>Expn II</t>
  </si>
  <si>
    <t>NTPC(ER) - Farakka-1</t>
  </si>
  <si>
    <t>NTPC(ER)-Kahalgaon</t>
  </si>
  <si>
    <t>NTPC(ER)-Talcher-I</t>
  </si>
  <si>
    <t>NTPC FGTPS 2 Pushp</t>
  </si>
  <si>
    <t>NTPC NSTPS 1 Pushp</t>
  </si>
  <si>
    <t>FC paid from Apr'23 to Sep'23</t>
  </si>
  <si>
    <t>Sembcorp Energy India Limited (570 MW)</t>
  </si>
  <si>
    <t>Sembcorp Energy India Limited (269.45 MW)</t>
  </si>
  <si>
    <t>BTPS (I to IV)</t>
  </si>
  <si>
    <t>Water Charges</t>
  </si>
  <si>
    <t>FC Adj</t>
  </si>
  <si>
    <t>FCA TSGENCO</t>
  </si>
  <si>
    <t>PGCIL POC-CTUIL</t>
  </si>
  <si>
    <t>Half (½) of the Distribution cost as per fourth MYT Distribution Tariff Order read with its amendment order dt 01.03.2021 by considering ARR less NTI.</t>
  </si>
  <si>
    <t>(a)</t>
  </si>
  <si>
    <t>Actual scheduled capacity for H2 FY 2022-23</t>
  </si>
  <si>
    <t>(b)</t>
  </si>
  <si>
    <t>Total Distribution charges as per Tariff Order</t>
  </si>
  <si>
    <t>(c)=a/b</t>
  </si>
  <si>
    <t>Distribution charges other than LT (i.e., 11 kV  and 33 kV) as per MYT Distribution Tariff Order read with its amendment order</t>
  </si>
  <si>
    <t>(d)</t>
  </si>
  <si>
    <t>Percentage of other than LT distribution cost (i.e., for 11 kV and 33 kV) in total distribution cost as per MYT Distribution Tariff Order</t>
  </si>
  <si>
    <t>(e)=(½xd)/a</t>
  </si>
  <si>
    <t>Distribution charges as per Tariff Order considered by Commission for Additional Surcharge calculation</t>
  </si>
  <si>
    <t>(f)=e*c</t>
  </si>
  <si>
    <t>Table 4-2: Distribution Charges considered</t>
  </si>
  <si>
    <t>-</t>
  </si>
  <si>
    <t>Table 4-3: Net Demand Charges recovered by TSDISCOMs from Open Access consumers</t>
  </si>
  <si>
    <t>(A)</t>
  </si>
  <si>
    <t>(C)=83%(B)</t>
  </si>
  <si>
    <t>(D)=(A-C)</t>
  </si>
  <si>
    <t>Total Demand Charges Recovered</t>
  </si>
  <si>
    <t>Distribution Cost recovery percentage in demand Charges as per Tariff Order values</t>
  </si>
  <si>
    <t>Lt Network cost recovery percentage in Distribution cost</t>
  </si>
  <si>
    <t>Net demand charges (Excluding LT network cost recovery) considered in Additional Surcharge calculations</t>
  </si>
  <si>
    <t>83.00%
(1-17.00%)</t>
  </si>
  <si>
    <t>Gross(Deficit)/Surplus</t>
  </si>
  <si>
    <t>Short-Term Purchases Capacity</t>
  </si>
  <si>
    <t>(Deficit)/Surplus after netting of Short-Term Purchases</t>
  </si>
  <si>
    <t>Filings for FY24-25 H1</t>
  </si>
  <si>
    <t>considering Actual Data of Apr'23 to Sep'23</t>
  </si>
  <si>
    <t>Transmission and distribution charges to payable by open access consumers</t>
  </si>
  <si>
    <t xml:space="preserve">Open Access </t>
  </si>
  <si>
    <t>IEX/OA</t>
  </si>
  <si>
    <t>IEX-RTM</t>
  </si>
  <si>
    <t>IEX-GDAM</t>
  </si>
  <si>
    <t>IntraState</t>
  </si>
  <si>
    <t>Others Captive</t>
  </si>
  <si>
    <t>Others Third Party</t>
  </si>
  <si>
    <t>Open access w/o Bilaterals</t>
  </si>
  <si>
    <t>Bilaterals</t>
  </si>
  <si>
    <t>ITC Bollaram</t>
  </si>
  <si>
    <t>ITC Bhadrachalam</t>
  </si>
  <si>
    <t>NavaBharat</t>
  </si>
  <si>
    <t>Open access incl Bilaterals</t>
  </si>
  <si>
    <t>Apr</t>
  </si>
  <si>
    <t>May</t>
  </si>
  <si>
    <t>June</t>
  </si>
  <si>
    <t>Jul</t>
  </si>
  <si>
    <t>Aug</t>
  </si>
  <si>
    <t>Sept</t>
  </si>
  <si>
    <t>Tot</t>
  </si>
  <si>
    <t>Energy consumed by open access consumers from the DISCOMs</t>
  </si>
  <si>
    <t>Generator FC /KWH</t>
  </si>
  <si>
    <t>Demand Cxharges against Generator FC for the DICOM KVAH</t>
  </si>
  <si>
    <t>Total Demand Charges  to be paid by OA consumers</t>
  </si>
  <si>
    <t>(B)=31.48%*(A)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</si>
</sst>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u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theme="1"/>
      <name val="Bookman Old Style"/>
      <family val="1"/>
    </font>
    <font>
      <b/>
      <sz val="12"/>
      <color theme="1"/>
      <name val="Bookman Old Style"/>
      <family val="1"/>
    </font>
    <font>
      <sz val="12"/>
      <color rgb="FF000000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0" fontId="5" fillId="0" borderId="0"/>
    <xf numFmtId="9" fontId="16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2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Font="1" applyFill="1" applyBorder="1"/>
    <xf numFmtId="0" fontId="0" fillId="0" borderId="0" xfId="0" applyFont="1" applyFill="1"/>
    <xf numFmtId="2" fontId="1" fillId="0" borderId="0" xfId="0" applyNumberFormat="1" applyFont="1"/>
    <xf numFmtId="2" fontId="1" fillId="3" borderId="1" xfId="0" applyNumberFormat="1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/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1" fillId="0" borderId="0" xfId="0" applyNumberFormat="1" applyFont="1" applyFill="1" applyBorder="1"/>
    <xf numFmtId="2" fontId="0" fillId="0" borderId="0" xfId="0" applyNumberFormat="1" applyFont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2" fontId="1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7" fillId="6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" fontId="8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9" fillId="0" borderId="0" xfId="0" applyFon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1" fontId="9" fillId="0" borderId="1" xfId="0" applyNumberFormat="1" applyFont="1" applyFill="1" applyBorder="1"/>
    <xf numFmtId="0" fontId="8" fillId="0" borderId="0" xfId="0" applyFont="1" applyAlignment="1">
      <alignment wrapText="1"/>
    </xf>
    <xf numFmtId="2" fontId="8" fillId="0" borderId="0" xfId="0" applyNumberFormat="1" applyFont="1" applyFill="1" applyBorder="1"/>
    <xf numFmtId="2" fontId="9" fillId="0" borderId="0" xfId="0" applyNumberFormat="1" applyFont="1"/>
    <xf numFmtId="1" fontId="13" fillId="4" borderId="1" xfId="0" applyNumberFormat="1" applyFont="1" applyFill="1" applyBorder="1" applyAlignment="1">
      <alignment horizontal="center"/>
    </xf>
    <xf numFmtId="2" fontId="8" fillId="4" borderId="1" xfId="0" applyNumberFormat="1" applyFont="1" applyFill="1" applyBorder="1"/>
    <xf numFmtId="1" fontId="14" fillId="4" borderId="1" xfId="0" applyNumberFormat="1" applyFont="1" applyFill="1" applyBorder="1"/>
    <xf numFmtId="0" fontId="8" fillId="4" borderId="1" xfId="0" applyFont="1" applyFill="1" applyBorder="1"/>
    <xf numFmtId="1" fontId="8" fillId="4" borderId="1" xfId="0" applyNumberFormat="1" applyFont="1" applyFill="1" applyBorder="1"/>
    <xf numFmtId="0" fontId="9" fillId="7" borderId="0" xfId="0" applyFont="1" applyFill="1" applyBorder="1"/>
    <xf numFmtId="2" fontId="9" fillId="0" borderId="0" xfId="0" applyNumberFormat="1" applyFont="1" applyFill="1" applyBorder="1"/>
    <xf numFmtId="0" fontId="9" fillId="0" borderId="0" xfId="0" applyFont="1" applyFill="1"/>
    <xf numFmtId="0" fontId="9" fillId="5" borderId="0" xfId="0" applyFont="1" applyFill="1"/>
    <xf numFmtId="164" fontId="8" fillId="5" borderId="0" xfId="0" applyNumberFormat="1" applyFont="1" applyFill="1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17" fillId="0" borderId="1" xfId="0" applyNumberFormat="1" applyFont="1" applyBorder="1"/>
    <xf numFmtId="1" fontId="18" fillId="0" borderId="1" xfId="0" applyNumberFormat="1" applyFont="1" applyBorder="1"/>
    <xf numFmtId="1" fontId="0" fillId="0" borderId="1" xfId="0" applyNumberFormat="1" applyBorder="1"/>
    <xf numFmtId="1" fontId="19" fillId="0" borderId="1" xfId="0" applyNumberFormat="1" applyFont="1" applyBorder="1"/>
    <xf numFmtId="0" fontId="0" fillId="0" borderId="1" xfId="0" applyFont="1" applyBorder="1"/>
    <xf numFmtId="2" fontId="0" fillId="0" borderId="1" xfId="0" applyNumberFormat="1" applyFont="1" applyBorder="1"/>
    <xf numFmtId="0" fontId="15" fillId="0" borderId="1" xfId="0" applyFont="1" applyBorder="1"/>
    <xf numFmtId="2" fontId="13" fillId="4" borderId="1" xfId="0" applyNumberFormat="1" applyFont="1" applyFill="1" applyBorder="1" applyAlignment="1">
      <alignment horizontal="right"/>
    </xf>
    <xf numFmtId="1" fontId="20" fillId="0" borderId="1" xfId="0" applyNumberFormat="1" applyFont="1" applyBorder="1"/>
    <xf numFmtId="0" fontId="18" fillId="0" borderId="1" xfId="0" applyFont="1" applyBorder="1"/>
    <xf numFmtId="1" fontId="8" fillId="7" borderId="1" xfId="0" applyNumberFormat="1" applyFont="1" applyFill="1" applyBorder="1"/>
    <xf numFmtId="2" fontId="13" fillId="7" borderId="1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center" wrapText="1"/>
    </xf>
    <xf numFmtId="1" fontId="9" fillId="0" borderId="0" xfId="0" applyNumberFormat="1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65" fontId="23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10" fontId="21" fillId="0" borderId="1" xfId="4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Fill="1" applyBorder="1"/>
    <xf numFmtId="0" fontId="9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" fillId="8" borderId="4" xfId="0" applyNumberFormat="1" applyFon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1" fillId="8" borderId="5" xfId="0" applyNumberFormat="1" applyFont="1" applyFill="1" applyBorder="1" applyAlignment="1">
      <alignment horizontal="center" vertical="center"/>
    </xf>
    <xf numFmtId="2" fontId="1" fillId="8" borderId="5" xfId="0" applyNumberFormat="1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1" fillId="8" borderId="7" xfId="0" applyNumberFormat="1" applyFont="1" applyFill="1" applyBorder="1" applyAlignment="1">
      <alignment horizontal="center" vertical="center" wrapText="1"/>
    </xf>
    <xf numFmtId="10" fontId="21" fillId="0" borderId="0" xfId="4" applyNumberFormat="1" applyFont="1" applyFill="1" applyBorder="1"/>
    <xf numFmtId="2" fontId="0" fillId="0" borderId="0" xfId="0" applyNumberFormat="1" applyFont="1" applyFill="1" applyBorder="1"/>
    <xf numFmtId="0" fontId="2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0"/>
  <tableStyles count="0" defaultTableStyle="TableStyleMedium2" defaultPivotStyle="PivotStyleLight16"/>
  <colors>
    <mruColors>
      <color rgb="FFFFFF99"/>
      <color rgb="FFFFFFCC"/>
      <color rgb="FFFFFF00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CER%20DATA/AS%20for%20H1%20of%20FY%202024-25/Additional%20surcharge%20data/FC%20VC%202023-24%20up%20to%20Sep'23-Provisional%20-Dt-25-10-202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CER%20DATA/AS%20for%20H1%20of%20FY%202024-25/Additional%20surcharge%20data/OA%20Sales%20Format_FY23-24%20H1%20-%20as%20on%206-11-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CER%20DATA/AS%20for%20H1%20of%20FY%202024-25/Additional%20surcharge%20data/Sales%20Blockwise%20from%20Apr%2023%20to%20Sep%2023/Sales%20Blockwise%20from%20Apr%2023%20to%20Sep%2023/1Total%20sales%20Apr%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CER%20DATA/AS%20for%20H1%20of%20FY%202024-25/Additional%20surcharge%20data/O.A%20Sales%20Format%20-%20Service%20wise%20-%20Revised%20as%20on%206-11-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Apr'23_07.11.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May'23_07.11.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3Jun'23_07.11.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4July'23_07.11.2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5August'23_07.11.2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6Sep'23_07.11.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-24"/>
      <sheetName val="Intra &amp; Inter State 23-24"/>
      <sheetName val="STOA 23-24"/>
      <sheetName val="NCEs NP 23-24"/>
      <sheetName val="NCEs SP 23-24"/>
      <sheetName val="For FSA "/>
      <sheetName val="Sheet1"/>
    </sheetNames>
    <sheetDataSet>
      <sheetData sheetId="0">
        <row r="70">
          <cell r="CG70">
            <v>40184.696770284994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Export Worksheet"/>
      <sheetName val="SQL"/>
      <sheetName val="OA Sales_FY22-23 H1"/>
      <sheetName val="OA Sales_FY2023-24 as on 28-10-"/>
      <sheetName val="OA Sales_FY2023-24 as 6-11-2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6">
          <cell r="T36">
            <v>354.74608031999992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M "/>
      <sheetName val="GDAM"/>
      <sheetName val="RTM"/>
      <sheetName val="Consol"/>
      <sheetName val="Sheet1"/>
      <sheetName val="Sheet2"/>
      <sheetName val="Sheet3"/>
    </sheetNames>
    <sheetDataSet>
      <sheetData sheetId="0"/>
      <sheetData sheetId="1"/>
      <sheetData sheetId="2"/>
      <sheetData sheetId="3">
        <row r="106">
          <cell r="AF106">
            <v>785.06352749999996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.A services"/>
      <sheetName val="Sheet1"/>
      <sheetName val="Sheet2"/>
      <sheetName val="Sheet3"/>
    </sheetNames>
    <sheetDataSet>
      <sheetData sheetId="0">
        <row r="577">
          <cell r="DV577">
            <v>210.60722855893755</v>
          </cell>
          <cell r="ER577">
            <v>1678.3840633329992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 refreshError="1"/>
      <sheetData sheetId="1">
        <row r="25">
          <cell r="CU25">
            <v>29892481.294000011</v>
          </cell>
        </row>
        <row r="53">
          <cell r="CU53">
            <v>23156596.319406696</v>
          </cell>
        </row>
        <row r="55">
          <cell r="CU55">
            <v>6735884.9745933032</v>
          </cell>
        </row>
        <row r="56">
          <cell r="CU56">
            <v>4869434.8500000015</v>
          </cell>
        </row>
        <row r="57">
          <cell r="CU57">
            <v>3537312.6314575691</v>
          </cell>
        </row>
        <row r="95">
          <cell r="CU95">
            <v>392951.53839999996</v>
          </cell>
        </row>
        <row r="98">
          <cell r="CU98">
            <v>293288.00031468156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 refreshError="1"/>
      <sheetData sheetId="1">
        <row r="25">
          <cell r="CU25">
            <v>30891367.614399996</v>
          </cell>
        </row>
        <row r="53">
          <cell r="CU53">
            <v>21460948.431176599</v>
          </cell>
        </row>
        <row r="55">
          <cell r="CU55">
            <v>9430419.1832233947</v>
          </cell>
        </row>
        <row r="56">
          <cell r="CU56">
            <v>1135271.4899999995</v>
          </cell>
        </row>
        <row r="57">
          <cell r="CU57">
            <v>8400885.1640293021</v>
          </cell>
        </row>
        <row r="94">
          <cell r="CU94">
            <v>448164.22055204003</v>
          </cell>
        </row>
        <row r="97">
          <cell r="CU97">
            <v>439553.02725203999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 refreshError="1"/>
      <sheetData sheetId="1">
        <row r="25">
          <cell r="CU25">
            <v>28074938.185999997</v>
          </cell>
        </row>
        <row r="53">
          <cell r="CU53">
            <v>21503046.675744042</v>
          </cell>
        </row>
        <row r="55">
          <cell r="CU55">
            <v>6571891.5102559552</v>
          </cell>
        </row>
        <row r="56">
          <cell r="CU56">
            <v>2834780.6799999997</v>
          </cell>
        </row>
        <row r="57">
          <cell r="CU57">
            <v>4403692.4913326381</v>
          </cell>
        </row>
        <row r="95">
          <cell r="CU95">
            <v>424549.62121882028</v>
          </cell>
        </row>
        <row r="98">
          <cell r="CU98">
            <v>409472.58879948035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/>
      <sheetData sheetId="1">
        <row r="25">
          <cell r="CU25">
            <v>29363454.527599998</v>
          </cell>
        </row>
        <row r="53">
          <cell r="CU53">
            <v>21258723.010391656</v>
          </cell>
        </row>
        <row r="55">
          <cell r="CU55">
            <v>8104731.5172083471</v>
          </cell>
        </row>
        <row r="56">
          <cell r="CU56">
            <v>4392598</v>
          </cell>
        </row>
        <row r="57">
          <cell r="CU57">
            <v>4445593.9190445291</v>
          </cell>
        </row>
        <row r="96">
          <cell r="CU96">
            <v>487495.48921999987</v>
          </cell>
        </row>
        <row r="99">
          <cell r="CU99">
            <v>415854.9443803982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/>
      <sheetData sheetId="1">
        <row r="25">
          <cell r="CU25">
            <v>30244060.613600008</v>
          </cell>
        </row>
        <row r="53">
          <cell r="CU53">
            <v>24065620.581401564</v>
          </cell>
        </row>
        <row r="55">
          <cell r="CU55">
            <v>6178440.0321984412</v>
          </cell>
        </row>
        <row r="56">
          <cell r="CU56">
            <v>6928322.5700000003</v>
          </cell>
        </row>
        <row r="57">
          <cell r="CU57">
            <v>1250446.6546020259</v>
          </cell>
        </row>
        <row r="96">
          <cell r="CU96">
            <v>393705.01000000007</v>
          </cell>
        </row>
        <row r="99">
          <cell r="CU99">
            <v>214790.05305685295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/>
      <sheetData sheetId="1">
        <row r="25">
          <cell r="CU25">
            <v>29198312.316799998</v>
          </cell>
        </row>
        <row r="53">
          <cell r="CU53">
            <v>22147622.912466411</v>
          </cell>
        </row>
        <row r="55">
          <cell r="CU55">
            <v>7050689.4043335915</v>
          </cell>
        </row>
        <row r="56">
          <cell r="CU56">
            <v>5226945.1900000013</v>
          </cell>
        </row>
        <row r="57">
          <cell r="CU57">
            <v>3285363.1636970355</v>
          </cell>
        </row>
        <row r="96">
          <cell r="CU96">
            <v>401408.18207734014</v>
          </cell>
        </row>
        <row r="99">
          <cell r="CU99">
            <v>227928.3988737498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FF99"/>
    <pageSetUpPr fitToPage="1"/>
  </sheetPr>
  <dimension ref="A2:S60"/>
  <sheetViews>
    <sheetView topLeftCell="A10" zoomScale="85" zoomScaleNormal="85" workbookViewId="0">
      <selection activeCell="E25" sqref="E25"/>
    </sheetView>
  </sheetViews>
  <sheetFormatPr defaultColWidth="9.140625" defaultRowHeight="15"/>
  <cols>
    <col min="1" max="1" width="9.140625" style="9"/>
    <col min="2" max="2" width="42.5703125" style="9" bestFit="1" customWidth="1"/>
    <col min="3" max="3" width="24.85546875" style="9" customWidth="1"/>
    <col min="4" max="4" width="28.7109375" style="10" customWidth="1"/>
    <col min="5" max="5" width="80" style="9" customWidth="1"/>
    <col min="6" max="6" width="31.85546875" style="10" customWidth="1"/>
    <col min="7" max="7" width="17.140625" style="10" customWidth="1"/>
    <col min="8" max="8" width="28" style="10" customWidth="1"/>
    <col min="9" max="9" width="28.7109375" style="10" customWidth="1"/>
    <col min="10" max="13" width="13.85546875" style="9" customWidth="1"/>
    <col min="14" max="14" width="12" style="9" customWidth="1"/>
    <col min="15" max="15" width="13.28515625" style="9" customWidth="1"/>
    <col min="16" max="17" width="12.42578125" style="9" customWidth="1"/>
    <col min="18" max="19" width="12.42578125" style="11" customWidth="1"/>
    <col min="20" max="21" width="14.140625" style="9" customWidth="1"/>
    <col min="22" max="22" width="11" style="9" bestFit="1" customWidth="1"/>
    <col min="23" max="16384" width="9.140625" style="9"/>
  </cols>
  <sheetData>
    <row r="2" spans="2:19" s="17" customFormat="1" ht="60" customHeight="1">
      <c r="D2" s="18"/>
      <c r="F2" s="18"/>
      <c r="G2" s="18"/>
      <c r="H2" s="18"/>
      <c r="I2" s="18"/>
      <c r="R2" s="19"/>
      <c r="S2" s="19"/>
    </row>
    <row r="3" spans="2:19" ht="31.5">
      <c r="B3" s="46" t="s">
        <v>89</v>
      </c>
      <c r="C3" s="46" t="s">
        <v>123</v>
      </c>
      <c r="E3" s="47"/>
      <c r="F3" s="45"/>
      <c r="G3" s="45"/>
      <c r="H3" s="45"/>
    </row>
    <row r="4" spans="2:19" ht="15.75">
      <c r="B4" s="67" t="s">
        <v>57</v>
      </c>
      <c r="C4" s="71"/>
      <c r="E4" s="48"/>
      <c r="F4" s="45"/>
      <c r="G4" s="45"/>
      <c r="H4" s="45"/>
    </row>
    <row r="5" spans="2:19" ht="15.75">
      <c r="B5" s="68" t="s">
        <v>58</v>
      </c>
      <c r="C5" s="72">
        <v>0</v>
      </c>
      <c r="E5" s="48"/>
      <c r="F5" s="45"/>
      <c r="G5" s="45"/>
      <c r="H5" s="45"/>
    </row>
    <row r="6" spans="2:19" ht="15.75">
      <c r="B6" s="68" t="s">
        <v>59</v>
      </c>
      <c r="C6" s="72">
        <v>0</v>
      </c>
      <c r="D6" s="20"/>
      <c r="E6" s="50"/>
      <c r="F6" s="51"/>
      <c r="G6" s="51"/>
      <c r="H6" s="51"/>
      <c r="I6" s="20"/>
    </row>
    <row r="7" spans="2:19" ht="15.75">
      <c r="B7" s="68" t="s">
        <v>60</v>
      </c>
      <c r="C7" s="72">
        <v>0</v>
      </c>
      <c r="E7" s="48"/>
      <c r="F7" s="45"/>
      <c r="G7" s="45"/>
      <c r="H7" s="45"/>
    </row>
    <row r="8" spans="2:19" ht="15.75">
      <c r="B8" s="68" t="s">
        <v>61</v>
      </c>
      <c r="C8" s="72">
        <v>0.9050142888699273</v>
      </c>
      <c r="E8" s="48"/>
      <c r="F8" s="45"/>
      <c r="G8" s="45"/>
      <c r="H8" s="45"/>
    </row>
    <row r="9" spans="2:19" ht="15.75">
      <c r="B9" s="68" t="s">
        <v>62</v>
      </c>
      <c r="C9" s="72">
        <v>0.75765555452376321</v>
      </c>
      <c r="E9" s="48"/>
      <c r="F9" s="45"/>
      <c r="G9" s="45"/>
      <c r="H9" s="45"/>
      <c r="I9" s="96"/>
    </row>
    <row r="10" spans="2:19" ht="15.75">
      <c r="B10" s="68" t="s">
        <v>96</v>
      </c>
      <c r="C10" s="72">
        <v>36.207618315040058</v>
      </c>
      <c r="E10" s="108" t="s">
        <v>143</v>
      </c>
      <c r="F10" s="108"/>
      <c r="G10" s="108"/>
      <c r="H10" s="45"/>
    </row>
    <row r="11" spans="2:19" ht="47.25">
      <c r="B11" s="68" t="s">
        <v>116</v>
      </c>
      <c r="C11" s="72">
        <v>1.7842856108800993</v>
      </c>
      <c r="D11" s="9"/>
      <c r="E11" s="81" t="s">
        <v>131</v>
      </c>
      <c r="F11" s="82" t="s">
        <v>132</v>
      </c>
      <c r="G11" s="83">
        <f>(10073.57-773.95)/2</f>
        <v>4649.8099999999995</v>
      </c>
      <c r="H11" s="79"/>
      <c r="I11" s="9"/>
    </row>
    <row r="12" spans="2:19" ht="16.5" customHeight="1">
      <c r="B12" s="68" t="s">
        <v>117</v>
      </c>
      <c r="C12" s="72">
        <v>2.8768758030548356</v>
      </c>
      <c r="E12" s="84" t="s">
        <v>133</v>
      </c>
      <c r="F12" s="83" t="s">
        <v>134</v>
      </c>
      <c r="G12" s="85">
        <f>'[1]2023-24'!$CG$70-[2]Consol!$AF$106</f>
        <v>39399.633242784992</v>
      </c>
      <c r="H12" s="64"/>
    </row>
    <row r="13" spans="2:19" ht="15.75">
      <c r="B13" s="69" t="s">
        <v>118</v>
      </c>
      <c r="C13" s="72">
        <v>1.7655000000000001E-2</v>
      </c>
      <c r="D13" s="21"/>
      <c r="E13" s="86" t="s">
        <v>135</v>
      </c>
      <c r="F13" s="87" t="s">
        <v>136</v>
      </c>
      <c r="G13" s="88">
        <f>G11/G12*10</f>
        <v>1.1801658079777912</v>
      </c>
      <c r="H13" s="65"/>
      <c r="I13" s="21"/>
    </row>
    <row r="14" spans="2:19" ht="31.5">
      <c r="B14" s="69" t="s">
        <v>119</v>
      </c>
      <c r="C14" s="72">
        <v>0.12659480000000001</v>
      </c>
      <c r="D14" s="21"/>
      <c r="E14" s="81" t="s">
        <v>137</v>
      </c>
      <c r="F14" s="87" t="s">
        <v>138</v>
      </c>
      <c r="G14" s="89" t="s">
        <v>144</v>
      </c>
      <c r="H14" s="80"/>
      <c r="I14" s="21"/>
    </row>
    <row r="15" spans="2:19" ht="31.5">
      <c r="B15" s="69" t="s">
        <v>120</v>
      </c>
      <c r="C15" s="72">
        <v>0</v>
      </c>
      <c r="D15" s="21"/>
      <c r="E15" s="81" t="s">
        <v>139</v>
      </c>
      <c r="F15" s="87" t="s">
        <v>140</v>
      </c>
      <c r="G15" s="88">
        <v>17.004999999999999</v>
      </c>
      <c r="H15" s="63"/>
      <c r="I15" s="21"/>
    </row>
    <row r="16" spans="2:19" ht="31.5">
      <c r="B16" s="68" t="s">
        <v>121</v>
      </c>
      <c r="C16" s="72">
        <v>2.1982999999999999E-2</v>
      </c>
      <c r="D16" s="12"/>
      <c r="E16" s="90" t="s">
        <v>141</v>
      </c>
      <c r="F16" s="91" t="s">
        <v>142</v>
      </c>
      <c r="G16" s="91">
        <f>G13*0.17005</f>
        <v>0.20068719564662341</v>
      </c>
      <c r="H16" s="66"/>
      <c r="I16" s="12"/>
    </row>
    <row r="17" spans="1:10" ht="15.75">
      <c r="B17" s="68" t="s">
        <v>122</v>
      </c>
      <c r="C17" s="72">
        <v>0.1124291</v>
      </c>
      <c r="E17" s="48"/>
      <c r="F17" s="45"/>
      <c r="G17" s="45"/>
      <c r="H17" s="45"/>
    </row>
    <row r="18" spans="1:10" ht="15.75">
      <c r="B18" s="68" t="s">
        <v>63</v>
      </c>
      <c r="C18" s="72">
        <v>121.1535363</v>
      </c>
      <c r="H18" s="45"/>
    </row>
    <row r="19" spans="1:10" ht="15.75">
      <c r="B19" s="68" t="s">
        <v>64</v>
      </c>
      <c r="C19" s="72">
        <v>29.061382800000001</v>
      </c>
      <c r="D19" s="109" t="s">
        <v>145</v>
      </c>
      <c r="E19" s="109"/>
      <c r="F19" s="109"/>
      <c r="G19" s="109"/>
      <c r="H19" s="45"/>
    </row>
    <row r="20" spans="1:10" ht="15.75">
      <c r="B20" s="68" t="s">
        <v>65</v>
      </c>
      <c r="C20" s="72">
        <v>243.70307940000001</v>
      </c>
      <c r="D20" s="87" t="s">
        <v>146</v>
      </c>
      <c r="E20" s="86" t="s">
        <v>149</v>
      </c>
      <c r="F20" s="87"/>
      <c r="G20" s="94">
        <f>'[3]O.A services'!$DV$577</f>
        <v>210.60722855893755</v>
      </c>
      <c r="H20" s="92"/>
    </row>
    <row r="21" spans="1:10" ht="31.5">
      <c r="B21" s="68" t="s">
        <v>66</v>
      </c>
      <c r="C21" s="72">
        <v>154.23795319999999</v>
      </c>
      <c r="D21" s="87" t="s">
        <v>184</v>
      </c>
      <c r="E21" s="81" t="s">
        <v>150</v>
      </c>
      <c r="F21" s="93">
        <f>9249.78/29379.06</f>
        <v>0.31484261239127459</v>
      </c>
      <c r="G21" s="94">
        <f>G20*F21</f>
        <v>66.308130027982145</v>
      </c>
      <c r="H21" s="106">
        <f>14753.05/52006.78</f>
        <v>0.28367551307733335</v>
      </c>
      <c r="I21" s="10">
        <f>G20*0.2837</f>
        <v>59.749270742170587</v>
      </c>
    </row>
    <row r="22" spans="1:10" ht="31.5">
      <c r="B22" s="68" t="s">
        <v>67</v>
      </c>
      <c r="C22" s="72">
        <v>75.570290700000001</v>
      </c>
      <c r="D22" s="87" t="s">
        <v>147</v>
      </c>
      <c r="E22" s="86" t="s">
        <v>151</v>
      </c>
      <c r="F22" s="82" t="s">
        <v>153</v>
      </c>
      <c r="G22" s="94">
        <f>G21*0.83</f>
        <v>55.035747923225181</v>
      </c>
      <c r="H22" s="92"/>
      <c r="I22" s="10">
        <f>I21*0.83</f>
        <v>49.591894716001583</v>
      </c>
    </row>
    <row r="23" spans="1:10" ht="31.5">
      <c r="B23" s="68" t="s">
        <v>68</v>
      </c>
      <c r="C23" s="72">
        <v>179.40221650000001</v>
      </c>
      <c r="D23" s="87" t="s">
        <v>148</v>
      </c>
      <c r="E23" s="81" t="s">
        <v>152</v>
      </c>
      <c r="F23" s="87"/>
      <c r="G23" s="94">
        <f>G20-G22</f>
        <v>155.57148063571236</v>
      </c>
      <c r="H23" s="92"/>
      <c r="I23" s="107">
        <f>G20-G22-I22</f>
        <v>105.97958591971079</v>
      </c>
    </row>
    <row r="24" spans="1:10" ht="15.75">
      <c r="B24" s="68" t="s">
        <v>69</v>
      </c>
      <c r="C24" s="72">
        <v>59.35600239</v>
      </c>
      <c r="D24" s="18"/>
      <c r="E24" s="48"/>
      <c r="F24" s="45"/>
      <c r="G24" s="45"/>
      <c r="H24" s="45"/>
    </row>
    <row r="25" spans="1:10" ht="15.75">
      <c r="B25" s="70" t="s">
        <v>70</v>
      </c>
      <c r="C25" s="72">
        <v>64.267850125470304</v>
      </c>
      <c r="D25" s="18"/>
      <c r="E25" s="48"/>
      <c r="F25" s="45"/>
      <c r="G25" s="45"/>
      <c r="H25" s="45"/>
    </row>
    <row r="26" spans="1:10" ht="15.75" customHeight="1">
      <c r="B26" s="53" t="s">
        <v>56</v>
      </c>
      <c r="C26" s="74">
        <v>969.56242288783892</v>
      </c>
      <c r="D26" s="18"/>
      <c r="E26" s="48"/>
      <c r="F26" s="45"/>
      <c r="G26" s="45"/>
      <c r="H26" s="45"/>
    </row>
    <row r="27" spans="1:10" ht="15.75">
      <c r="B27" s="75" t="s">
        <v>71</v>
      </c>
      <c r="C27" s="21">
        <v>0</v>
      </c>
      <c r="D27" s="18"/>
      <c r="E27" s="52"/>
      <c r="F27" s="45"/>
      <c r="G27" s="45"/>
      <c r="H27" s="45"/>
    </row>
    <row r="28" spans="1:10" ht="15.75">
      <c r="B28" s="73" t="s">
        <v>124</v>
      </c>
      <c r="C28" s="21">
        <v>562.50020652785588</v>
      </c>
      <c r="D28" s="18"/>
      <c r="E28" s="52"/>
      <c r="F28" s="45"/>
      <c r="G28" s="45"/>
      <c r="H28" s="45"/>
    </row>
    <row r="29" spans="1:10" ht="15.75">
      <c r="B29" s="73" t="s">
        <v>125</v>
      </c>
      <c r="C29" s="21">
        <v>159.03114577365622</v>
      </c>
      <c r="E29" s="52"/>
      <c r="F29" s="45"/>
      <c r="G29" s="45"/>
      <c r="H29" s="45"/>
    </row>
    <row r="30" spans="1:10" ht="15.75">
      <c r="A30"/>
      <c r="B30" s="55" t="s">
        <v>72</v>
      </c>
      <c r="C30" s="74">
        <v>721.53135230151213</v>
      </c>
      <c r="D30" s="30"/>
      <c r="E30" s="52"/>
      <c r="F30" s="45"/>
      <c r="G30" s="45"/>
      <c r="H30" s="45"/>
      <c r="I30" s="30"/>
      <c r="J30" s="31"/>
    </row>
    <row r="31" spans="1:10" ht="15.75">
      <c r="B31" s="68" t="s">
        <v>73</v>
      </c>
      <c r="C31" s="72">
        <v>191.26499999999999</v>
      </c>
      <c r="D31" s="30"/>
      <c r="E31" s="52"/>
      <c r="F31" s="45"/>
      <c r="G31" s="45"/>
      <c r="H31" s="45"/>
      <c r="I31" s="30"/>
      <c r="J31" s="32"/>
    </row>
    <row r="32" spans="1:10" ht="15.75">
      <c r="B32" s="68" t="s">
        <v>74</v>
      </c>
      <c r="C32" s="72">
        <v>298.93999980000001</v>
      </c>
      <c r="D32" s="30"/>
      <c r="E32" s="52"/>
      <c r="F32" s="45"/>
      <c r="G32" s="45"/>
      <c r="H32" s="45"/>
      <c r="I32" s="30"/>
      <c r="J32" s="32"/>
    </row>
    <row r="33" spans="2:10" ht="15.75">
      <c r="B33" s="76" t="s">
        <v>77</v>
      </c>
      <c r="C33" s="72">
        <v>672.70500000000004</v>
      </c>
      <c r="E33" s="52"/>
      <c r="F33" s="45"/>
      <c r="G33" s="45"/>
      <c r="H33" s="45"/>
      <c r="J33" s="32"/>
    </row>
    <row r="34" spans="2:10" ht="15.75">
      <c r="B34" s="68" t="s">
        <v>55</v>
      </c>
      <c r="C34" s="72">
        <v>38.487866599999997</v>
      </c>
      <c r="E34" s="52"/>
      <c r="F34" s="45"/>
      <c r="G34" s="45"/>
      <c r="H34" s="45"/>
    </row>
    <row r="35" spans="2:10" ht="15.75">
      <c r="B35" s="68" t="s">
        <v>75</v>
      </c>
      <c r="C35" s="72">
        <v>209.93500019999999</v>
      </c>
      <c r="E35" s="52"/>
      <c r="F35" s="45"/>
      <c r="G35" s="45"/>
      <c r="H35" s="45"/>
    </row>
    <row r="36" spans="2:10" ht="15.75">
      <c r="B36" s="68" t="s">
        <v>76</v>
      </c>
      <c r="C36" s="72">
        <v>374.59999979999998</v>
      </c>
      <c r="E36" s="52"/>
      <c r="F36" s="45"/>
      <c r="G36" s="45"/>
      <c r="H36" s="45"/>
    </row>
    <row r="37" spans="2:10" ht="15.75">
      <c r="B37" s="76" t="s">
        <v>126</v>
      </c>
      <c r="C37" s="72">
        <v>555.00212669999996</v>
      </c>
      <c r="E37" s="52"/>
      <c r="F37" s="45"/>
      <c r="G37" s="45"/>
      <c r="H37" s="45"/>
    </row>
    <row r="38" spans="2:10" ht="15.75">
      <c r="B38" s="68" t="s">
        <v>78</v>
      </c>
      <c r="C38" s="72">
        <v>596.98</v>
      </c>
      <c r="E38" s="48"/>
      <c r="F38" s="45"/>
      <c r="G38" s="45"/>
      <c r="H38" s="45"/>
    </row>
    <row r="39" spans="2:10" ht="15.75">
      <c r="B39" s="68" t="s">
        <v>79</v>
      </c>
      <c r="C39" s="72">
        <v>621.17250000000001</v>
      </c>
      <c r="E39" s="48"/>
      <c r="F39" s="45"/>
      <c r="G39" s="45"/>
      <c r="H39" s="45"/>
    </row>
    <row r="40" spans="2:10" ht="15.75">
      <c r="B40" s="68" t="s">
        <v>127</v>
      </c>
      <c r="C40" s="72">
        <v>33.1</v>
      </c>
      <c r="E40" s="48"/>
      <c r="F40" s="45"/>
      <c r="G40" s="45"/>
      <c r="H40" s="45"/>
    </row>
    <row r="41" spans="2:10" ht="15.75">
      <c r="B41" s="68" t="s">
        <v>128</v>
      </c>
      <c r="C41" s="72">
        <v>0</v>
      </c>
      <c r="E41" s="58"/>
      <c r="F41" s="45"/>
      <c r="G41" s="45"/>
      <c r="H41" s="45"/>
    </row>
    <row r="42" spans="2:10" ht="15.75">
      <c r="B42" s="68" t="s">
        <v>129</v>
      </c>
      <c r="C42" s="72">
        <v>0</v>
      </c>
      <c r="E42" s="51"/>
      <c r="F42" s="45"/>
      <c r="G42" s="45"/>
      <c r="H42" s="45"/>
    </row>
    <row r="43" spans="2:10" ht="15.75">
      <c r="B43" s="57" t="s">
        <v>80</v>
      </c>
      <c r="C43" s="74">
        <f>SUM(C31:C42)</f>
        <v>3592.1874931000002</v>
      </c>
      <c r="E43" s="59"/>
      <c r="F43" s="45"/>
      <c r="G43" s="45"/>
      <c r="H43" s="45"/>
    </row>
    <row r="44" spans="2:10" ht="15.75">
      <c r="B44" s="68" t="s">
        <v>81</v>
      </c>
      <c r="C44" s="72">
        <v>665.14039090000006</v>
      </c>
      <c r="E44" s="59"/>
      <c r="F44" s="45"/>
      <c r="G44" s="45"/>
      <c r="H44" s="45"/>
    </row>
    <row r="45" spans="2:10" ht="15.75">
      <c r="B45" s="68" t="s">
        <v>82</v>
      </c>
      <c r="C45" s="72">
        <v>0</v>
      </c>
      <c r="E45" s="59"/>
      <c r="F45" s="45"/>
      <c r="G45" s="45"/>
      <c r="H45" s="45"/>
    </row>
    <row r="46" spans="2:10" ht="15.75">
      <c r="B46" s="57" t="s">
        <v>90</v>
      </c>
      <c r="C46" s="74">
        <f>C45+C44+C43+C30+C26</f>
        <v>5948.421659189351</v>
      </c>
      <c r="E46" s="59"/>
      <c r="F46" s="45"/>
      <c r="G46" s="45"/>
      <c r="H46" s="45"/>
    </row>
    <row r="47" spans="2:10" ht="15.75">
      <c r="B47" s="77"/>
      <c r="C47" s="78"/>
      <c r="E47" s="59"/>
      <c r="F47" s="45"/>
      <c r="G47" s="45"/>
      <c r="H47" s="45"/>
    </row>
    <row r="48" spans="2:10" ht="15.75">
      <c r="B48" s="56" t="s">
        <v>91</v>
      </c>
      <c r="C48" s="74">
        <f>C49+C50+C51</f>
        <v>983.75031480094106</v>
      </c>
      <c r="E48" s="51"/>
      <c r="F48" s="45"/>
      <c r="G48" s="45"/>
      <c r="H48" s="45"/>
    </row>
    <row r="49" spans="2:8" ht="15.75">
      <c r="B49" s="49" t="s">
        <v>130</v>
      </c>
      <c r="C49" s="72">
        <v>979.66060230000005</v>
      </c>
      <c r="E49" s="59"/>
      <c r="F49" s="45"/>
      <c r="G49" s="45"/>
      <c r="H49" s="45"/>
    </row>
    <row r="50" spans="2:8" ht="15.75">
      <c r="B50" s="49" t="s">
        <v>83</v>
      </c>
      <c r="C50" s="72">
        <v>0.96107629999999999</v>
      </c>
      <c r="E50" s="59"/>
      <c r="F50" s="45"/>
      <c r="G50" s="45"/>
      <c r="H50" s="45"/>
    </row>
    <row r="51" spans="2:8" ht="15.75">
      <c r="B51" s="49" t="s">
        <v>84</v>
      </c>
      <c r="C51" s="72">
        <v>3.1286362009410187</v>
      </c>
      <c r="E51" s="59"/>
      <c r="F51" s="45"/>
      <c r="G51" s="45"/>
      <c r="H51" s="45"/>
    </row>
    <row r="52" spans="2:8" ht="15.75">
      <c r="B52" s="56" t="s">
        <v>92</v>
      </c>
      <c r="C52" s="74">
        <f>C53+C54</f>
        <v>1898.2822859999999</v>
      </c>
      <c r="E52" s="51"/>
      <c r="F52" s="59"/>
      <c r="G52" s="59"/>
      <c r="H52" s="45"/>
    </row>
    <row r="53" spans="2:8" ht="15.75">
      <c r="B53" s="68" t="s">
        <v>85</v>
      </c>
      <c r="C53" s="72">
        <v>563.14697339999998</v>
      </c>
      <c r="E53" s="60"/>
      <c r="F53" s="45"/>
      <c r="G53" s="45"/>
      <c r="H53" s="45"/>
    </row>
    <row r="54" spans="2:8" ht="15.75">
      <c r="B54" s="68" t="s">
        <v>86</v>
      </c>
      <c r="C54" s="72">
        <v>1335.1353125999999</v>
      </c>
      <c r="E54" s="48"/>
      <c r="F54" s="45"/>
      <c r="G54" s="45"/>
      <c r="H54" s="45"/>
    </row>
    <row r="55" spans="2:8" ht="15.75">
      <c r="B55" s="57" t="s">
        <v>93</v>
      </c>
      <c r="C55" s="54">
        <f>C56+C57</f>
        <v>26.635522699999999</v>
      </c>
      <c r="E55" s="48"/>
      <c r="F55" s="45"/>
      <c r="G55" s="45"/>
      <c r="H55" s="45"/>
    </row>
    <row r="56" spans="2:8" ht="15.75">
      <c r="B56" s="68" t="s">
        <v>87</v>
      </c>
      <c r="C56" s="72">
        <v>7.8415055000000002</v>
      </c>
      <c r="E56" s="48"/>
      <c r="F56" s="45"/>
      <c r="G56" s="45"/>
      <c r="H56" s="45"/>
    </row>
    <row r="57" spans="2:8" ht="15.75">
      <c r="B57" s="68" t="s">
        <v>88</v>
      </c>
      <c r="C57" s="72">
        <v>18.794017199999999</v>
      </c>
      <c r="E57" s="48"/>
      <c r="F57" s="45"/>
      <c r="G57" s="45"/>
      <c r="H57" s="45"/>
    </row>
    <row r="58" spans="2:8" ht="15.75">
      <c r="B58" s="57" t="s">
        <v>94</v>
      </c>
      <c r="C58" s="54">
        <f>C55+C52+C48</f>
        <v>2908.668123500941</v>
      </c>
    </row>
    <row r="60" spans="2:8" ht="15.75">
      <c r="B60" s="61" t="s">
        <v>95</v>
      </c>
      <c r="C60" s="62">
        <f>C58+C46</f>
        <v>8857.089782690291</v>
      </c>
    </row>
  </sheetData>
  <mergeCells count="2">
    <mergeCell ref="E10:G10"/>
    <mergeCell ref="D19:G19"/>
  </mergeCells>
  <pageMargins left="0.7" right="0.7" top="0.75" bottom="0.75" header="0.3" footer="0.3"/>
  <pageSetup paperSize="9" scale="56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99"/>
  </sheetPr>
  <dimension ref="B1:K25"/>
  <sheetViews>
    <sheetView workbookViewId="0">
      <selection activeCell="K28" sqref="K27:K28"/>
    </sheetView>
  </sheetViews>
  <sheetFormatPr defaultRowHeight="15"/>
  <cols>
    <col min="2" max="2" width="21.7109375" bestFit="1" customWidth="1"/>
    <col min="3" max="8" width="13.140625" bestFit="1" customWidth="1"/>
    <col min="9" max="9" width="10.85546875" style="16" bestFit="1" customWidth="1"/>
  </cols>
  <sheetData>
    <row r="1" spans="2:11">
      <c r="C1" s="16"/>
      <c r="D1" s="16"/>
      <c r="E1" s="16"/>
      <c r="F1" s="16"/>
      <c r="G1" s="16"/>
      <c r="H1" s="16"/>
    </row>
    <row r="3" spans="2:11" ht="15.75">
      <c r="B3" s="40" t="s">
        <v>97</v>
      </c>
      <c r="C3" s="41">
        <v>45017</v>
      </c>
      <c r="D3" s="41">
        <v>45047</v>
      </c>
      <c r="E3" s="41">
        <v>45078</v>
      </c>
      <c r="F3" s="41">
        <v>45108</v>
      </c>
      <c r="G3" s="41">
        <v>45139</v>
      </c>
      <c r="H3" s="41">
        <v>45170</v>
      </c>
      <c r="I3" s="98" t="s">
        <v>98</v>
      </c>
    </row>
    <row r="4" spans="2:11" ht="15.75">
      <c r="B4" s="42" t="s">
        <v>99</v>
      </c>
      <c r="C4" s="43">
        <f>'[4]Day (1)'!$CU$25</f>
        <v>29892481.294000011</v>
      </c>
      <c r="D4" s="43">
        <f>'[5]Day (1)'!$CU$25</f>
        <v>30891367.614399996</v>
      </c>
      <c r="E4" s="43">
        <f>'[6]Day (1)'!$CU$25</f>
        <v>28074938.185999997</v>
      </c>
      <c r="F4" s="43">
        <f>'[7]Day (1)'!$CU$25</f>
        <v>29363454.527599998</v>
      </c>
      <c r="G4" s="43">
        <f>'[8]Day (1)'!$CU$25</f>
        <v>30244060.613600008</v>
      </c>
      <c r="H4" s="43">
        <f>'[9]Day (1)'!$CU$25</f>
        <v>29198312.316799998</v>
      </c>
      <c r="I4" s="44">
        <f>SUM(C4:H4)/(96*183)</f>
        <v>10112.967586088344</v>
      </c>
    </row>
    <row r="5" spans="2:11" ht="15.75">
      <c r="B5" s="42" t="s">
        <v>100</v>
      </c>
      <c r="C5" s="43">
        <f>'[4]Day (1)'!$CU$53</f>
        <v>23156596.319406696</v>
      </c>
      <c r="D5" s="43">
        <f>'[5]Day (1)'!$CU$53</f>
        <v>21460948.431176599</v>
      </c>
      <c r="E5" s="43">
        <f>'[6]Day (1)'!$CU$53</f>
        <v>21503046.675744042</v>
      </c>
      <c r="F5" s="43">
        <f>'[7]Day (1)'!$CU$53</f>
        <v>21258723.010391656</v>
      </c>
      <c r="G5" s="43">
        <f>'[8]Day (1)'!$CU$53</f>
        <v>24065620.581401564</v>
      </c>
      <c r="H5" s="43">
        <f>'[9]Day (1)'!$CU$53</f>
        <v>22147622.912466411</v>
      </c>
      <c r="I5" s="44">
        <f t="shared" ref="I5:I10" si="0">SUM(C5:H5)/(96*183)</f>
        <v>7604.3122683621905</v>
      </c>
    </row>
    <row r="6" spans="2:11" ht="15.75">
      <c r="B6" s="42" t="s">
        <v>154</v>
      </c>
      <c r="C6" s="43">
        <f>'[4]Day (1)'!$CU$55</f>
        <v>6735884.9745933032</v>
      </c>
      <c r="D6" s="43">
        <f>'[5]Day (1)'!$CU$55</f>
        <v>9430419.1832233947</v>
      </c>
      <c r="E6" s="43">
        <f>'[6]Day (1)'!$CU$55</f>
        <v>6571891.5102559552</v>
      </c>
      <c r="F6" s="43">
        <f>'[7]Day (1)'!$CU$55</f>
        <v>8104731.5172083471</v>
      </c>
      <c r="G6" s="43">
        <f>'[8]Day (1)'!$CU$55</f>
        <v>6178440.0321984412</v>
      </c>
      <c r="H6" s="43">
        <f>'[9]Day (1)'!$CU$55</f>
        <v>7050689.4043335915</v>
      </c>
      <c r="I6" s="44">
        <f t="shared" si="0"/>
        <v>2508.6553177261517</v>
      </c>
    </row>
    <row r="7" spans="2:11" ht="31.5">
      <c r="B7" s="97" t="s">
        <v>155</v>
      </c>
      <c r="C7" s="43">
        <f>'[4]Day (1)'!$CU$56</f>
        <v>4869434.8500000015</v>
      </c>
      <c r="D7" s="43">
        <f>'[5]Day (1)'!$CU$56</f>
        <v>1135271.4899999995</v>
      </c>
      <c r="E7" s="43">
        <f>'[6]Day (1)'!$CU$56</f>
        <v>2834780.6799999997</v>
      </c>
      <c r="F7" s="43">
        <f>'[7]Day (1)'!$CU$56</f>
        <v>4392598</v>
      </c>
      <c r="G7" s="43">
        <f>'[8]Day (1)'!$CU$56</f>
        <v>6928322.5700000003</v>
      </c>
      <c r="H7" s="43">
        <f>'[9]Day (1)'!$CU$56</f>
        <v>5226945.1900000013</v>
      </c>
      <c r="I7" s="44">
        <f t="shared" si="0"/>
        <v>1445.0906637067396</v>
      </c>
    </row>
    <row r="8" spans="2:11" ht="47.25">
      <c r="B8" s="97" t="s">
        <v>156</v>
      </c>
      <c r="C8" s="43">
        <f>'[4]Day (1)'!$CU$57</f>
        <v>3537312.6314575691</v>
      </c>
      <c r="D8" s="43">
        <f>'[5]Day (1)'!$CU$57</f>
        <v>8400885.1640293021</v>
      </c>
      <c r="E8" s="43">
        <f>'[6]Day (1)'!$CU$57</f>
        <v>4403692.4913326381</v>
      </c>
      <c r="F8" s="43">
        <f>'[7]Day (1)'!$CU$57</f>
        <v>4445593.9190445291</v>
      </c>
      <c r="G8" s="43">
        <f>'[8]Day (1)'!$CU$57</f>
        <v>1250446.6546020259</v>
      </c>
      <c r="H8" s="43">
        <f>'[9]Day (1)'!$CU$57</f>
        <v>3285363.1636970355</v>
      </c>
      <c r="I8" s="44">
        <f t="shared" si="0"/>
        <v>1441.4443319764969</v>
      </c>
    </row>
    <row r="9" spans="2:11" ht="15.75">
      <c r="B9" s="42" t="s">
        <v>101</v>
      </c>
      <c r="C9" s="43">
        <f>'[4]Day (1)'!$CU$95</f>
        <v>392951.53839999996</v>
      </c>
      <c r="D9" s="43">
        <f>'[5]Day (1)'!$CU$94</f>
        <v>448164.22055204003</v>
      </c>
      <c r="E9" s="43">
        <f>'[6]Day (1)'!$CU$95</f>
        <v>424549.62121882028</v>
      </c>
      <c r="F9" s="43">
        <f>'[7]Day (1)'!$CU$96</f>
        <v>487495.48921999987</v>
      </c>
      <c r="G9" s="43">
        <f>'[8]Day (1)'!$CU$96</f>
        <v>393705.01000000007</v>
      </c>
      <c r="H9" s="43">
        <f>'[9]Day (1)'!$CU$96</f>
        <v>401408.18207734014</v>
      </c>
      <c r="I9" s="44">
        <f t="shared" si="0"/>
        <v>145.05202991053056</v>
      </c>
      <c r="K9">
        <f>I9*(24*183)/1000</f>
        <v>637.06851536705017</v>
      </c>
    </row>
    <row r="10" spans="2:11" ht="15.75">
      <c r="B10" s="40" t="s">
        <v>102</v>
      </c>
      <c r="C10" s="44">
        <f>'[4]Day (1)'!$CU$98</f>
        <v>293288.00031468156</v>
      </c>
      <c r="D10" s="44">
        <f>'[5]Day (1)'!$CU$97</f>
        <v>439553.02725203999</v>
      </c>
      <c r="E10" s="44">
        <f>'[6]Day (1)'!$CU$98</f>
        <v>409472.58879948035</v>
      </c>
      <c r="F10" s="44">
        <f>'[7]Day (1)'!$CU$99</f>
        <v>415854.9443803982</v>
      </c>
      <c r="G10" s="44">
        <f>'[8]Day (1)'!$CU$99</f>
        <v>214790.05305685295</v>
      </c>
      <c r="H10" s="44">
        <f>'[9]Day (1)'!$CU$99</f>
        <v>227928.3988737498</v>
      </c>
      <c r="I10" s="44">
        <f t="shared" si="0"/>
        <v>113.89384179628887</v>
      </c>
    </row>
    <row r="11" spans="2:11">
      <c r="B11" s="110" t="s">
        <v>103</v>
      </c>
      <c r="C11" s="110"/>
      <c r="D11" s="110"/>
      <c r="E11" s="110"/>
      <c r="F11" s="110"/>
      <c r="G11" s="110"/>
      <c r="H11" s="110"/>
      <c r="I11" s="110"/>
    </row>
    <row r="12" spans="2:11">
      <c r="B12" s="110"/>
      <c r="C12" s="110"/>
      <c r="D12" s="110"/>
      <c r="E12" s="110"/>
      <c r="F12" s="110"/>
      <c r="G12" s="110"/>
      <c r="H12" s="110"/>
      <c r="I12" s="110"/>
    </row>
    <row r="16" spans="2:11" ht="15.75">
      <c r="B16" s="95" t="s">
        <v>97</v>
      </c>
      <c r="C16" s="41">
        <v>45017</v>
      </c>
      <c r="D16" s="41">
        <v>45047</v>
      </c>
      <c r="E16" s="41">
        <v>45078</v>
      </c>
      <c r="F16" s="41">
        <v>45108</v>
      </c>
      <c r="G16" s="41">
        <v>45139</v>
      </c>
      <c r="H16" s="41">
        <v>45170</v>
      </c>
      <c r="I16" s="98" t="s">
        <v>98</v>
      </c>
    </row>
    <row r="17" spans="2:9" ht="15.75">
      <c r="B17" s="42" t="s">
        <v>99</v>
      </c>
      <c r="C17" s="43">
        <f>C4/(96*30)</f>
        <v>10379.333782638892</v>
      </c>
      <c r="D17" s="43">
        <f>D4/(31*96)</f>
        <v>10380.163848924729</v>
      </c>
      <c r="E17" s="43">
        <f>E4/(30*96)</f>
        <v>9748.2424256944432</v>
      </c>
      <c r="F17" s="43">
        <f>F4/(31*96)</f>
        <v>9866.7521934139786</v>
      </c>
      <c r="G17" s="43">
        <f>G4/(31*96)</f>
        <v>10162.654776075271</v>
      </c>
      <c r="H17" s="43">
        <f>H4/(30*96)</f>
        <v>10138.302887777778</v>
      </c>
      <c r="I17" s="44">
        <f>AVERAGE(C17:H17)</f>
        <v>10112.574985754183</v>
      </c>
    </row>
    <row r="18" spans="2:9" ht="15.75">
      <c r="B18" s="42" t="s">
        <v>100</v>
      </c>
      <c r="C18" s="43">
        <f t="shared" ref="C18:C23" si="1">C5/(96*30)</f>
        <v>8040.4848331273251</v>
      </c>
      <c r="D18" s="43">
        <f t="shared" ref="D18:D23" si="2">D5/(31*96)</f>
        <v>7211.3401986480512</v>
      </c>
      <c r="E18" s="43">
        <f t="shared" ref="E18:E23" si="3">E5/(30*96)</f>
        <v>7466.3356513000144</v>
      </c>
      <c r="F18" s="43">
        <f t="shared" ref="F18:G23" si="4">F5/(31*96)</f>
        <v>7143.3881083305296</v>
      </c>
      <c r="G18" s="43">
        <f t="shared" si="4"/>
        <v>8086.5660555784825</v>
      </c>
      <c r="H18" s="43">
        <f t="shared" ref="H18:H23" si="5">H5/(30*96)</f>
        <v>7690.1468446063927</v>
      </c>
      <c r="I18" s="44">
        <f t="shared" ref="I18:I23" si="6">AVERAGE(C18:H18)</f>
        <v>7606.3769485984667</v>
      </c>
    </row>
    <row r="19" spans="2:9" ht="15.75">
      <c r="B19" s="42" t="s">
        <v>154</v>
      </c>
      <c r="C19" s="43">
        <f t="shared" si="1"/>
        <v>2338.8489495115637</v>
      </c>
      <c r="D19" s="43">
        <f t="shared" si="2"/>
        <v>3168.8236502766781</v>
      </c>
      <c r="E19" s="43">
        <f t="shared" si="3"/>
        <v>2281.9067743944288</v>
      </c>
      <c r="F19" s="43">
        <f t="shared" si="4"/>
        <v>2723.3640850834499</v>
      </c>
      <c r="G19" s="43">
        <f t="shared" si="4"/>
        <v>2076.088720496788</v>
      </c>
      <c r="H19" s="43">
        <f t="shared" si="5"/>
        <v>2448.156043171386</v>
      </c>
      <c r="I19" s="44">
        <f t="shared" si="6"/>
        <v>2506.1980371557156</v>
      </c>
    </row>
    <row r="20" spans="2:9" ht="31.5">
      <c r="B20" s="97" t="s">
        <v>155</v>
      </c>
      <c r="C20" s="43">
        <f t="shared" si="1"/>
        <v>1690.7759895833337</v>
      </c>
      <c r="D20" s="43">
        <f t="shared" si="2"/>
        <v>381.47563508064502</v>
      </c>
      <c r="E20" s="43">
        <f t="shared" si="3"/>
        <v>984.29884722222209</v>
      </c>
      <c r="F20" s="43">
        <f t="shared" si="4"/>
        <v>1476.0073924731182</v>
      </c>
      <c r="G20" s="43">
        <f t="shared" si="4"/>
        <v>2328.065379704301</v>
      </c>
      <c r="H20" s="43">
        <f t="shared" si="5"/>
        <v>1814.911524305556</v>
      </c>
      <c r="I20" s="44">
        <f t="shared" si="6"/>
        <v>1445.9224613948629</v>
      </c>
    </row>
    <row r="21" spans="2:9" ht="47.25">
      <c r="B21" s="97" t="s">
        <v>156</v>
      </c>
      <c r="C21" s="43">
        <f t="shared" si="1"/>
        <v>1228.2335525894337</v>
      </c>
      <c r="D21" s="43">
        <f t="shared" si="2"/>
        <v>2822.8780793109213</v>
      </c>
      <c r="E21" s="43">
        <f t="shared" si="3"/>
        <v>1529.0598928238326</v>
      </c>
      <c r="F21" s="43">
        <f t="shared" si="4"/>
        <v>1493.8151609692638</v>
      </c>
      <c r="G21" s="43">
        <f t="shared" si="4"/>
        <v>420.17696727218612</v>
      </c>
      <c r="H21" s="43">
        <f t="shared" si="5"/>
        <v>1140.751098505915</v>
      </c>
      <c r="I21" s="44">
        <f t="shared" si="6"/>
        <v>1439.1524585785919</v>
      </c>
    </row>
    <row r="22" spans="2:9" ht="15.75">
      <c r="B22" s="42" t="s">
        <v>101</v>
      </c>
      <c r="C22" s="43">
        <f t="shared" si="1"/>
        <v>136.44150638888888</v>
      </c>
      <c r="D22" s="43">
        <f t="shared" si="2"/>
        <v>150.59281604571237</v>
      </c>
      <c r="E22" s="43">
        <f t="shared" si="3"/>
        <v>147.41306292320149</v>
      </c>
      <c r="F22" s="43">
        <f t="shared" si="4"/>
        <v>163.80896815188169</v>
      </c>
      <c r="G22" s="43">
        <f t="shared" si="4"/>
        <v>132.29335013440863</v>
      </c>
      <c r="H22" s="43">
        <f t="shared" si="5"/>
        <v>139.37784099907643</v>
      </c>
      <c r="I22" s="44">
        <f t="shared" si="6"/>
        <v>144.98792410719491</v>
      </c>
    </row>
    <row r="23" spans="2:9" ht="15.75">
      <c r="B23" s="95" t="s">
        <v>102</v>
      </c>
      <c r="C23" s="43">
        <f t="shared" si="1"/>
        <v>101.83611122037554</v>
      </c>
      <c r="D23" s="43">
        <f t="shared" si="2"/>
        <v>147.69926990995967</v>
      </c>
      <c r="E23" s="43">
        <f t="shared" si="3"/>
        <v>142.17798222204178</v>
      </c>
      <c r="F23" s="43">
        <f t="shared" si="4"/>
        <v>139.73620442889725</v>
      </c>
      <c r="G23" s="43">
        <f t="shared" si="4"/>
        <v>72.174076968028544</v>
      </c>
      <c r="H23" s="43">
        <f t="shared" si="5"/>
        <v>79.141805164496461</v>
      </c>
      <c r="I23" s="44">
        <f t="shared" si="6"/>
        <v>113.79424165229987</v>
      </c>
    </row>
    <row r="24" spans="2:9">
      <c r="B24" s="110" t="s">
        <v>103</v>
      </c>
      <c r="C24" s="110"/>
      <c r="D24" s="110"/>
      <c r="E24" s="110"/>
      <c r="F24" s="110"/>
      <c r="G24" s="110"/>
      <c r="H24" s="110"/>
      <c r="I24" s="110"/>
    </row>
    <row r="25" spans="2:9">
      <c r="B25" s="110"/>
      <c r="C25" s="110"/>
      <c r="D25" s="110"/>
      <c r="E25" s="110"/>
      <c r="F25" s="110"/>
      <c r="G25" s="110"/>
      <c r="H25" s="110"/>
      <c r="I25" s="110"/>
    </row>
  </sheetData>
  <mergeCells count="2">
    <mergeCell ref="B11:I12"/>
    <mergeCell ref="B24:I25"/>
  </mergeCells>
  <printOptions horizontalCentered="1"/>
  <pageMargins left="0.7" right="0.7" top="0.75" bottom="0.75" header="0.3" footer="0.3"/>
  <pageSetup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FFFF99"/>
  </sheetPr>
  <dimension ref="A1:I48"/>
  <sheetViews>
    <sheetView tabSelected="1" zoomScaleSheetLayoutView="70" workbookViewId="0">
      <selection activeCell="E20" sqref="E20"/>
    </sheetView>
  </sheetViews>
  <sheetFormatPr defaultRowHeight="15"/>
  <cols>
    <col min="2" max="2" width="14.5703125" customWidth="1"/>
    <col min="3" max="3" width="52.28515625" customWidth="1"/>
    <col min="4" max="4" width="14" customWidth="1"/>
    <col min="5" max="5" width="22.85546875" customWidth="1"/>
    <col min="8" max="8" width="55.5703125" bestFit="1" customWidth="1"/>
  </cols>
  <sheetData>
    <row r="1" spans="2:9" s="15" customFormat="1">
      <c r="B1" s="111" t="s">
        <v>0</v>
      </c>
      <c r="C1" s="111"/>
      <c r="D1" s="112" t="s">
        <v>1</v>
      </c>
      <c r="E1" s="22" t="s">
        <v>157</v>
      </c>
    </row>
    <row r="2" spans="2:9" ht="30">
      <c r="B2" s="111"/>
      <c r="C2" s="111"/>
      <c r="D2" s="113"/>
      <c r="E2" s="6" t="s">
        <v>158</v>
      </c>
    </row>
    <row r="3" spans="2:9" ht="24.95" customHeight="1">
      <c r="B3" s="39" t="s">
        <v>2</v>
      </c>
      <c r="C3" s="39" t="s">
        <v>3</v>
      </c>
      <c r="D3" s="37" t="s">
        <v>4</v>
      </c>
      <c r="E3" s="2">
        <f>'Abstract Avail&amp;Strand'!I4</f>
        <v>10112.967586088344</v>
      </c>
    </row>
    <row r="4" spans="2:9" ht="34.5" customHeight="1">
      <c r="B4" s="36" t="s">
        <v>5</v>
      </c>
      <c r="C4" s="36" t="s">
        <v>6</v>
      </c>
      <c r="D4" s="37" t="s">
        <v>4</v>
      </c>
      <c r="E4" s="34">
        <f xml:space="preserve"> 'Abstract Avail&amp;Strand'!I$10</f>
        <v>113.89384179628887</v>
      </c>
    </row>
    <row r="5" spans="2:9" ht="30.75" customHeight="1">
      <c r="B5" s="36" t="s">
        <v>8</v>
      </c>
      <c r="C5" s="36" t="s">
        <v>9</v>
      </c>
      <c r="D5" s="37" t="s">
        <v>10</v>
      </c>
      <c r="E5" s="34">
        <f>'Actual FC &amp; PGCIL &amp; TM Cost'!C46</f>
        <v>5948.421659189351</v>
      </c>
      <c r="H5" t="s">
        <v>181</v>
      </c>
      <c r="I5" s="16">
        <f>E5/E9*10</f>
        <v>1.509765743892717</v>
      </c>
    </row>
    <row r="6" spans="2:9" ht="24.95" customHeight="1">
      <c r="B6" s="36" t="s">
        <v>12</v>
      </c>
      <c r="C6" s="36" t="s">
        <v>13</v>
      </c>
      <c r="D6" s="36" t="s">
        <v>14</v>
      </c>
      <c r="E6" s="2">
        <f>E5/E3</f>
        <v>0.58819744140900365</v>
      </c>
      <c r="H6" t="s">
        <v>182</v>
      </c>
      <c r="I6">
        <f>I5*E13/10</f>
        <v>253.39667639156264</v>
      </c>
    </row>
    <row r="7" spans="2:9" ht="24.95" customHeight="1">
      <c r="B7" s="36" t="s">
        <v>15</v>
      </c>
      <c r="C7" s="36" t="s">
        <v>16</v>
      </c>
      <c r="D7" s="37" t="s">
        <v>10</v>
      </c>
      <c r="E7" s="2">
        <f>E6*E4</f>
        <v>66.992066336818951</v>
      </c>
      <c r="H7" t="s">
        <v>183</v>
      </c>
    </row>
    <row r="8" spans="2:9" ht="30.75" customHeight="1">
      <c r="B8" s="36" t="s">
        <v>17</v>
      </c>
      <c r="C8" s="36" t="s">
        <v>18</v>
      </c>
      <c r="D8" s="37" t="s">
        <v>10</v>
      </c>
      <c r="E8" s="35">
        <f>'Actual FC &amp; PGCIL &amp; TM Cost'!C58</f>
        <v>2908.668123500941</v>
      </c>
    </row>
    <row r="9" spans="2:9" ht="24.95" customHeight="1">
      <c r="B9" s="36" t="s">
        <v>19</v>
      </c>
      <c r="C9" s="36" t="s">
        <v>20</v>
      </c>
      <c r="D9" s="37" t="s">
        <v>21</v>
      </c>
      <c r="E9" s="35">
        <f>'Actual FC &amp; PGCIL &amp; TM Cost'!G12</f>
        <v>39399.633242784992</v>
      </c>
    </row>
    <row r="10" spans="2:9" ht="24.95" customHeight="1">
      <c r="B10" s="36" t="s">
        <v>22</v>
      </c>
      <c r="C10" s="36" t="s">
        <v>23</v>
      </c>
      <c r="D10" s="37" t="s">
        <v>24</v>
      </c>
      <c r="E10" s="2">
        <f>E8/E9*10</f>
        <v>0.73824751250281928</v>
      </c>
    </row>
    <row r="11" spans="2:9" s="15" customFormat="1" ht="28.5" customHeight="1">
      <c r="B11" s="36" t="s">
        <v>25</v>
      </c>
      <c r="C11" s="37" t="s">
        <v>26</v>
      </c>
      <c r="D11" s="37" t="s">
        <v>24</v>
      </c>
      <c r="E11" s="34">
        <f>'Actual FC &amp; PGCIL &amp; TM Cost'!G16</f>
        <v>0.20068719564662341</v>
      </c>
    </row>
    <row r="12" spans="2:9" ht="18.75" customHeight="1">
      <c r="B12" s="36" t="s">
        <v>27</v>
      </c>
      <c r="C12" s="36" t="s">
        <v>28</v>
      </c>
      <c r="D12" s="37" t="s">
        <v>24</v>
      </c>
      <c r="E12" s="2">
        <f>E10+E11</f>
        <v>0.93893470814944269</v>
      </c>
      <c r="G12" s="16">
        <f>E12+I5</f>
        <v>2.4487004520421598</v>
      </c>
    </row>
    <row r="13" spans="2:9" ht="33.75" customHeight="1">
      <c r="B13" s="38" t="s">
        <v>29</v>
      </c>
      <c r="C13" s="36" t="s">
        <v>180</v>
      </c>
      <c r="D13" s="37" t="s">
        <v>21</v>
      </c>
      <c r="E13" s="4">
        <f>'[3]O.A services'!$ER$577</f>
        <v>1678.3840633329992</v>
      </c>
    </row>
    <row r="14" spans="2:9" ht="36" customHeight="1">
      <c r="B14" s="36" t="s">
        <v>30</v>
      </c>
      <c r="C14" s="99" t="s">
        <v>159</v>
      </c>
      <c r="D14" s="37" t="s">
        <v>10</v>
      </c>
      <c r="E14" s="2">
        <f>E13*E12/10</f>
        <v>157.58930506682452</v>
      </c>
      <c r="G14">
        <f>G12*E13/10</f>
        <v>410.98598145838724</v>
      </c>
    </row>
    <row r="15" spans="2:9" ht="36" customHeight="1">
      <c r="B15" s="38" t="s">
        <v>31</v>
      </c>
      <c r="C15" s="36" t="s">
        <v>32</v>
      </c>
      <c r="D15" s="37" t="s">
        <v>10</v>
      </c>
      <c r="E15" s="5">
        <f>'Actual FC &amp; PGCIL &amp; TM Cost'!G23</f>
        <v>155.57148063571236</v>
      </c>
      <c r="F15" s="16">
        <f>'Actual FC &amp; PGCIL &amp; TM Cost'!I23</f>
        <v>105.97958591971079</v>
      </c>
      <c r="G15">
        <v>210.61</v>
      </c>
    </row>
    <row r="16" spans="2:9" ht="24.95" customHeight="1">
      <c r="B16" s="36" t="s">
        <v>34</v>
      </c>
      <c r="C16" s="36" t="s">
        <v>35</v>
      </c>
      <c r="D16" s="37" t="s">
        <v>10</v>
      </c>
      <c r="E16" s="2">
        <f>E15-E14</f>
        <v>-2.0178244311121603</v>
      </c>
      <c r="F16" s="16">
        <f>F15-E14</f>
        <v>-51.609719147113736</v>
      </c>
      <c r="G16" s="16">
        <f>G15-G14</f>
        <v>-200.37598145838723</v>
      </c>
    </row>
    <row r="17" spans="1:7" ht="24.95" customHeight="1">
      <c r="B17" s="36" t="s">
        <v>36</v>
      </c>
      <c r="C17" s="36" t="s">
        <v>37</v>
      </c>
      <c r="D17" s="37" t="s">
        <v>10</v>
      </c>
      <c r="E17" s="2">
        <f>E7-E16</f>
        <v>69.009890767931111</v>
      </c>
      <c r="F17" s="16">
        <f>E7-F16</f>
        <v>118.60178548393269</v>
      </c>
      <c r="G17" s="16">
        <f>E7-G16</f>
        <v>267.36804779520617</v>
      </c>
    </row>
    <row r="18" spans="1:7" s="15" customFormat="1" ht="31.5" customHeight="1">
      <c r="B18" s="38" t="s">
        <v>38</v>
      </c>
      <c r="C18" s="36" t="s">
        <v>39</v>
      </c>
      <c r="D18" s="37" t="s">
        <v>21</v>
      </c>
      <c r="E18" s="14">
        <f>'[10]OA Sales_FY2023-24 as 6-11-23'!$T$36</f>
        <v>354.74608031999992</v>
      </c>
      <c r="F18" s="33"/>
    </row>
    <row r="19" spans="1:7" ht="24.95" customHeight="1">
      <c r="B19" s="36" t="s">
        <v>41</v>
      </c>
      <c r="C19" s="36" t="s">
        <v>42</v>
      </c>
      <c r="D19" s="37" t="s">
        <v>24</v>
      </c>
      <c r="E19" s="13">
        <f>E17/E18*10</f>
        <v>1.9453320162320187</v>
      </c>
      <c r="F19">
        <f>F17/E18*10</f>
        <v>3.3432867074090722</v>
      </c>
      <c r="G19">
        <f>G17/E18*10</f>
        <v>7.536885187118231</v>
      </c>
    </row>
    <row r="22" spans="1:7" hidden="1"/>
    <row r="23" spans="1:7" hidden="1">
      <c r="C23" s="1" t="s">
        <v>11</v>
      </c>
      <c r="D23" s="1"/>
    </row>
    <row r="24" spans="1:7" hidden="1">
      <c r="C24" s="1" t="s">
        <v>43</v>
      </c>
      <c r="D24" s="1"/>
    </row>
    <row r="25" spans="1:7" hidden="1"/>
    <row r="26" spans="1:7" hidden="1"/>
    <row r="27" spans="1:7" hidden="1"/>
    <row r="28" spans="1:7" hidden="1">
      <c r="C28" s="1" t="s">
        <v>44</v>
      </c>
      <c r="D28" s="1"/>
    </row>
    <row r="29" spans="1:7" hidden="1">
      <c r="C29" s="1" t="s">
        <v>40</v>
      </c>
      <c r="D29" s="1"/>
    </row>
    <row r="30" spans="1:7" hidden="1">
      <c r="A30" s="8" t="s">
        <v>45</v>
      </c>
      <c r="C30" s="1" t="s">
        <v>46</v>
      </c>
      <c r="D30" s="1"/>
    </row>
    <row r="31" spans="1:7" hidden="1">
      <c r="A31" s="8" t="s">
        <v>47</v>
      </c>
      <c r="C31" s="1" t="s">
        <v>48</v>
      </c>
      <c r="D31" s="1"/>
    </row>
    <row r="32" spans="1:7" hidden="1"/>
    <row r="33" spans="3:4" hidden="1"/>
    <row r="34" spans="3:4" hidden="1"/>
    <row r="35" spans="3:4" hidden="1">
      <c r="C35" s="1" t="s">
        <v>49</v>
      </c>
      <c r="D35" s="1"/>
    </row>
    <row r="36" spans="3:4" hidden="1">
      <c r="C36" s="1" t="s">
        <v>50</v>
      </c>
      <c r="D36" s="1"/>
    </row>
    <row r="37" spans="3:4" hidden="1">
      <c r="C37" s="1" t="s">
        <v>51</v>
      </c>
      <c r="D37" s="1"/>
    </row>
    <row r="38" spans="3:4" hidden="1"/>
    <row r="39" spans="3:4" hidden="1"/>
    <row r="40" spans="3:4" hidden="1"/>
    <row r="41" spans="3:4" hidden="1">
      <c r="C41" s="1" t="s">
        <v>52</v>
      </c>
      <c r="D41" s="1"/>
    </row>
    <row r="42" spans="3:4" hidden="1">
      <c r="C42" s="1" t="s">
        <v>53</v>
      </c>
      <c r="D42" s="1"/>
    </row>
    <row r="43" spans="3:4" hidden="1">
      <c r="C43" s="1" t="s">
        <v>33</v>
      </c>
      <c r="D43" s="1"/>
    </row>
    <row r="44" spans="3:4" hidden="1"/>
    <row r="45" spans="3:4" hidden="1"/>
    <row r="46" spans="3:4" hidden="1"/>
    <row r="47" spans="3:4" hidden="1">
      <c r="C47" s="3" t="s">
        <v>54</v>
      </c>
      <c r="D47" s="1"/>
    </row>
    <row r="48" spans="3:4" hidden="1">
      <c r="C48" s="3" t="s">
        <v>7</v>
      </c>
      <c r="D48" s="1"/>
    </row>
  </sheetData>
  <mergeCells count="2">
    <mergeCell ref="B1:C2"/>
    <mergeCell ref="D1:D2"/>
  </mergeCells>
  <printOptions horizontalCentered="1"/>
  <pageMargins left="0.45" right="0.45" top="0.5" bottom="0.5" header="0" footer="0"/>
  <pageSetup scale="80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G13"/>
  <sheetViews>
    <sheetView workbookViewId="0">
      <selection activeCell="G7" sqref="G7"/>
    </sheetView>
  </sheetViews>
  <sheetFormatPr defaultRowHeight="15"/>
  <cols>
    <col min="4" max="6" width="10.5703125" customWidth="1"/>
  </cols>
  <sheetData>
    <row r="3" spans="3:7" s="8" customFormat="1">
      <c r="C3" s="111" t="s">
        <v>104</v>
      </c>
      <c r="D3" s="114" t="s">
        <v>115</v>
      </c>
      <c r="E3" s="114"/>
      <c r="F3" s="114"/>
    </row>
    <row r="4" spans="3:7" s="7" customFormat="1">
      <c r="C4" s="111"/>
      <c r="D4" s="24" t="s">
        <v>113</v>
      </c>
      <c r="E4" s="24" t="s">
        <v>114</v>
      </c>
      <c r="F4" s="24" t="s">
        <v>95</v>
      </c>
    </row>
    <row r="5" spans="3:7" s="23" customFormat="1" hidden="1">
      <c r="C5" s="28" t="s">
        <v>105</v>
      </c>
      <c r="D5" s="27"/>
      <c r="E5" s="27"/>
      <c r="F5" s="29">
        <f>485856564.5/10^6</f>
        <v>485.85656449999999</v>
      </c>
    </row>
    <row r="6" spans="3:7" s="23" customFormat="1" hidden="1">
      <c r="C6" s="28" t="s">
        <v>106</v>
      </c>
      <c r="D6" s="27"/>
      <c r="E6" s="27"/>
      <c r="F6" s="29">
        <f>947768055.5/10^6</f>
        <v>947.76805549999995</v>
      </c>
    </row>
    <row r="7" spans="3:7">
      <c r="C7" s="1" t="s">
        <v>107</v>
      </c>
      <c r="D7" s="25">
        <v>1046.1329619999999</v>
      </c>
      <c r="E7" s="25">
        <v>1113.30503635375</v>
      </c>
      <c r="F7" s="26">
        <f>SUM(D7:E7)</f>
        <v>2159.4379983537501</v>
      </c>
    </row>
    <row r="8" spans="3:7">
      <c r="C8" s="1" t="s">
        <v>108</v>
      </c>
      <c r="D8" s="25">
        <v>1034.2393849999999</v>
      </c>
      <c r="E8" s="25">
        <v>719.495721</v>
      </c>
      <c r="F8" s="26">
        <f t="shared" ref="F8:F12" si="0">SUM(D8:E8)</f>
        <v>1753.7351059999999</v>
      </c>
    </row>
    <row r="9" spans="3:7">
      <c r="C9" s="1" t="s">
        <v>109</v>
      </c>
      <c r="D9" s="25">
        <v>484.28944399999995</v>
      </c>
      <c r="E9" s="25">
        <v>483.57670607</v>
      </c>
      <c r="F9" s="26">
        <f t="shared" si="0"/>
        <v>967.86615007</v>
      </c>
    </row>
    <row r="10" spans="3:7">
      <c r="C10" s="1" t="s">
        <v>110</v>
      </c>
      <c r="D10" s="25">
        <v>669.27946420000001</v>
      </c>
      <c r="E10" s="25">
        <v>859.21150440000019</v>
      </c>
      <c r="F10" s="26">
        <f t="shared" si="0"/>
        <v>1528.4909686000001</v>
      </c>
    </row>
    <row r="11" spans="3:7">
      <c r="C11" s="1" t="s">
        <v>111</v>
      </c>
      <c r="D11" s="25">
        <v>868.04402991000006</v>
      </c>
      <c r="E11" s="25">
        <v>844.10998640000014</v>
      </c>
      <c r="F11" s="26">
        <f t="shared" si="0"/>
        <v>1712.1540163100003</v>
      </c>
    </row>
    <row r="12" spans="3:7">
      <c r="C12" s="1" t="s">
        <v>112</v>
      </c>
      <c r="D12" s="25">
        <v>645.89654036999991</v>
      </c>
      <c r="E12" s="25"/>
      <c r="F12" s="26">
        <f t="shared" si="0"/>
        <v>645.89654036999991</v>
      </c>
    </row>
    <row r="13" spans="3:7">
      <c r="D13" s="16">
        <f>AVERAGE(D7:D12)</f>
        <v>791.31363757999986</v>
      </c>
      <c r="F13" s="16">
        <f>AVERAGE(F7:F11)</f>
        <v>1624.3368478667501</v>
      </c>
      <c r="G13">
        <f>F13/2</f>
        <v>812.16842393337504</v>
      </c>
    </row>
  </sheetData>
  <mergeCells count="2">
    <mergeCell ref="C3:C4"/>
    <mergeCell ref="D3:F3"/>
  </mergeCells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4:I17"/>
  <sheetViews>
    <sheetView workbookViewId="0">
      <selection activeCell="J19" sqref="J19"/>
    </sheetView>
  </sheetViews>
  <sheetFormatPr defaultRowHeight="15"/>
  <cols>
    <col min="2" max="2" width="44.85546875" customWidth="1"/>
  </cols>
  <sheetData>
    <row r="4" spans="2:9" ht="15.75" thickBot="1">
      <c r="C4" t="s">
        <v>173</v>
      </c>
      <c r="D4" t="s">
        <v>174</v>
      </c>
      <c r="E4" t="s">
        <v>175</v>
      </c>
      <c r="F4" t="s">
        <v>176</v>
      </c>
      <c r="G4" t="s">
        <v>177</v>
      </c>
      <c r="H4" t="s">
        <v>178</v>
      </c>
      <c r="I4" t="s">
        <v>179</v>
      </c>
    </row>
    <row r="5" spans="2:9">
      <c r="B5" s="100" t="s">
        <v>160</v>
      </c>
      <c r="C5">
        <v>47.332830000000008</v>
      </c>
      <c r="D5">
        <v>58.51802</v>
      </c>
      <c r="E5">
        <v>59</v>
      </c>
      <c r="F5">
        <v>73.86</v>
      </c>
      <c r="G5">
        <v>32.49</v>
      </c>
      <c r="H5">
        <v>38.47</v>
      </c>
      <c r="I5">
        <f>SUM(C5:H5)</f>
        <v>309.67084999999997</v>
      </c>
    </row>
    <row r="6" spans="2:9">
      <c r="B6" s="101" t="s">
        <v>161</v>
      </c>
      <c r="I6">
        <f t="shared" ref="I6:I17" si="0">SUM(C6:H6)</f>
        <v>0</v>
      </c>
    </row>
    <row r="7" spans="2:9">
      <c r="B7" s="101" t="s">
        <v>162</v>
      </c>
      <c r="I7">
        <f t="shared" si="0"/>
        <v>0</v>
      </c>
    </row>
    <row r="8" spans="2:9">
      <c r="B8" s="101" t="s">
        <v>163</v>
      </c>
      <c r="I8">
        <f t="shared" si="0"/>
        <v>0</v>
      </c>
    </row>
    <row r="9" spans="2:9">
      <c r="B9" s="102" t="s">
        <v>164</v>
      </c>
      <c r="C9">
        <v>44.396857099999913</v>
      </c>
      <c r="D9">
        <v>44.664092590000095</v>
      </c>
      <c r="E9">
        <v>42.6</v>
      </c>
      <c r="F9">
        <v>34.119999999999997</v>
      </c>
      <c r="G9">
        <v>42.36</v>
      </c>
      <c r="H9">
        <v>25.39</v>
      </c>
      <c r="I9">
        <f t="shared" si="0"/>
        <v>233.53094969</v>
      </c>
    </row>
    <row r="10" spans="2:9">
      <c r="B10" s="101" t="s">
        <v>165</v>
      </c>
      <c r="I10">
        <f t="shared" si="0"/>
        <v>0</v>
      </c>
    </row>
    <row r="11" spans="2:9">
      <c r="B11" s="101" t="s">
        <v>166</v>
      </c>
      <c r="C11">
        <v>12.43</v>
      </c>
      <c r="D11">
        <v>14.54</v>
      </c>
      <c r="E11">
        <v>12.67</v>
      </c>
      <c r="F11">
        <v>10.33</v>
      </c>
      <c r="G11">
        <v>13.06</v>
      </c>
      <c r="H11">
        <v>5.17</v>
      </c>
      <c r="I11">
        <f t="shared" si="0"/>
        <v>68.2</v>
      </c>
    </row>
    <row r="12" spans="2:9">
      <c r="B12" s="103" t="s">
        <v>167</v>
      </c>
      <c r="C12">
        <v>91.729687099999978</v>
      </c>
      <c r="D12">
        <v>103.18211258999997</v>
      </c>
      <c r="E12">
        <v>101.6</v>
      </c>
      <c r="F12">
        <v>107.98</v>
      </c>
      <c r="G12">
        <v>74.849999999999994</v>
      </c>
      <c r="H12">
        <v>63.86</v>
      </c>
      <c r="I12">
        <f t="shared" si="0"/>
        <v>543.20179969000003</v>
      </c>
    </row>
    <row r="13" spans="2:9">
      <c r="B13" s="102" t="s">
        <v>168</v>
      </c>
      <c r="C13">
        <v>1.7735999999999994</v>
      </c>
      <c r="D13">
        <v>6.534320000000009</v>
      </c>
      <c r="E13">
        <v>6.36</v>
      </c>
      <c r="F13">
        <v>27.14</v>
      </c>
      <c r="G13">
        <v>31.4</v>
      </c>
      <c r="H13">
        <v>23.89</v>
      </c>
      <c r="I13">
        <f t="shared" si="0"/>
        <v>97.097920000000002</v>
      </c>
    </row>
    <row r="14" spans="2:9">
      <c r="B14" s="101" t="s">
        <v>169</v>
      </c>
      <c r="I14">
        <f t="shared" si="0"/>
        <v>0</v>
      </c>
    </row>
    <row r="15" spans="2:9">
      <c r="B15" s="101" t="s">
        <v>170</v>
      </c>
      <c r="I15">
        <f t="shared" si="0"/>
        <v>0</v>
      </c>
    </row>
    <row r="16" spans="2:9">
      <c r="B16" s="104" t="s">
        <v>171</v>
      </c>
      <c r="I16">
        <f t="shared" si="0"/>
        <v>0</v>
      </c>
    </row>
    <row r="17" spans="2:9" ht="15.75" thickBot="1">
      <c r="B17" s="105" t="s">
        <v>172</v>
      </c>
      <c r="C17">
        <v>93.503287099999994</v>
      </c>
      <c r="D17">
        <v>109.71643258999998</v>
      </c>
      <c r="E17">
        <v>107.96</v>
      </c>
      <c r="F17">
        <v>135.12</v>
      </c>
      <c r="G17">
        <v>106.25</v>
      </c>
      <c r="H17">
        <v>87.75</v>
      </c>
      <c r="I17">
        <f t="shared" si="0"/>
        <v>640.29971968999996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Actual FC &amp; PGCIL &amp; TM Cost</vt:lpstr>
      <vt:lpstr>Abstract Avail&amp;Strand</vt:lpstr>
      <vt:lpstr>Addnl Surcharge 24-25_H1</vt:lpstr>
      <vt:lpstr>OA Sales Trend</vt:lpstr>
      <vt:lpstr>Sheet1</vt:lpstr>
      <vt:lpstr>'Actual FC &amp; PGCIL &amp; TM Cost'!Print_Area</vt:lpstr>
      <vt:lpstr>'Addnl Surcharge 24-25_H1'!Print_Area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</dc:creator>
  <cp:lastModifiedBy>hp</cp:lastModifiedBy>
  <cp:lastPrinted>2022-11-15T07:33:38Z</cp:lastPrinted>
  <dcterms:created xsi:type="dcterms:W3CDTF">2019-10-25T12:02:31Z</dcterms:created>
  <dcterms:modified xsi:type="dcterms:W3CDTF">2023-11-14T10:38:06Z</dcterms:modified>
</cp:coreProperties>
</file>